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20" windowWidth="15135" windowHeight="9300" firstSheet="6" activeTab="6"/>
  </bookViews>
  <sheets>
    <sheet name="2017" sheetId="1" state="hidden" r:id="rId1"/>
    <sheet name="Sheet2" sheetId="2" state="hidden" r:id="rId2"/>
    <sheet name="гориво_бр. деца" sheetId="3" state="hidden" r:id="rId3"/>
    <sheet name="бр. деца" sheetId="4" state="hidden" r:id="rId4"/>
    <sheet name="малко нас. място" sheetId="6" state="hidden" r:id="rId5"/>
    <sheet name="2018" sheetId="7" state="hidden" r:id="rId6"/>
    <sheet name="Приложение 1" sheetId="11" r:id="rId7"/>
  </sheets>
  <calcPr calcId="144525"/>
</workbook>
</file>

<file path=xl/calcChain.xml><?xml version="1.0" encoding="utf-8"?>
<calcChain xmlns="http://schemas.openxmlformats.org/spreadsheetml/2006/main">
  <c r="Z16" i="11" l="1"/>
  <c r="Z15" i="11"/>
  <c r="S15" i="11" l="1"/>
  <c r="S16" i="11"/>
  <c r="AL7" i="11" l="1"/>
  <c r="AM14" i="11"/>
  <c r="I8" i="11"/>
  <c r="AG15" i="11" l="1"/>
  <c r="AG16" i="11"/>
  <c r="AF15" i="11"/>
  <c r="AF16" i="11"/>
  <c r="AE15" i="11"/>
  <c r="AD15" i="11"/>
  <c r="AD16" i="11"/>
  <c r="AC15" i="11"/>
  <c r="AM16" i="11"/>
  <c r="Y15" i="11"/>
  <c r="Y16" i="11"/>
  <c r="X15" i="11"/>
  <c r="U15" i="11"/>
  <c r="U16" i="11"/>
  <c r="T15" i="11"/>
  <c r="R15" i="11"/>
  <c r="Q15" i="11"/>
  <c r="Q16" i="11"/>
  <c r="P15" i="11"/>
  <c r="O15" i="11"/>
  <c r="O16" i="11"/>
  <c r="N15" i="11"/>
  <c r="M15" i="11"/>
  <c r="M16" i="11"/>
  <c r="L15" i="11"/>
  <c r="F15" i="11"/>
  <c r="F16" i="11"/>
  <c r="E15" i="11"/>
  <c r="W7" i="11" l="1"/>
  <c r="Y3" i="11"/>
  <c r="W3" i="11"/>
  <c r="F11" i="11" l="1"/>
  <c r="AA14" i="11" l="1"/>
  <c r="AK6" i="11"/>
  <c r="AK7" i="11"/>
  <c r="AK8" i="11"/>
  <c r="AK9" i="11"/>
  <c r="AK10" i="11"/>
  <c r="AK11" i="11"/>
  <c r="AK12" i="11"/>
  <c r="AK13" i="11"/>
  <c r="AK5" i="11"/>
  <c r="AI14" i="11"/>
  <c r="AK14" i="11" s="1"/>
  <c r="AD6" i="7"/>
  <c r="F3" i="11" l="1"/>
  <c r="AF12" i="7" l="1"/>
  <c r="AF11" i="7"/>
  <c r="AF10" i="7"/>
  <c r="AF8" i="7"/>
  <c r="AE14" i="11" l="1"/>
  <c r="AC14" i="11"/>
  <c r="X14" i="11"/>
  <c r="V14" i="11"/>
  <c r="T14" i="11"/>
  <c r="R14" i="11"/>
  <c r="P14" i="11"/>
  <c r="N14" i="11"/>
  <c r="L14" i="11"/>
  <c r="J14" i="11"/>
  <c r="E14" i="11"/>
  <c r="C14" i="11"/>
  <c r="B14" i="11"/>
  <c r="AF13" i="11"/>
  <c r="AD13" i="11"/>
  <c r="Y13" i="11"/>
  <c r="W13" i="11"/>
  <c r="U13" i="11"/>
  <c r="S13" i="11"/>
  <c r="Q13" i="11"/>
  <c r="O13" i="11"/>
  <c r="M13" i="11"/>
  <c r="K13" i="11"/>
  <c r="F13" i="11"/>
  <c r="D13" i="11"/>
  <c r="AF12" i="11"/>
  <c r="AD12" i="11"/>
  <c r="Y12" i="11"/>
  <c r="W12" i="11"/>
  <c r="U12" i="11"/>
  <c r="S12" i="11"/>
  <c r="Q12" i="11"/>
  <c r="O12" i="11"/>
  <c r="M12" i="11"/>
  <c r="K12" i="11"/>
  <c r="F12" i="11"/>
  <c r="D12" i="11"/>
  <c r="AF11" i="11"/>
  <c r="AD11" i="11"/>
  <c r="Y11" i="11"/>
  <c r="W11" i="11"/>
  <c r="U11" i="11"/>
  <c r="S11" i="11"/>
  <c r="Q11" i="11"/>
  <c r="O11" i="11"/>
  <c r="M11" i="11"/>
  <c r="K11" i="11"/>
  <c r="D11" i="11"/>
  <c r="AF10" i="11"/>
  <c r="AD10" i="11"/>
  <c r="Y10" i="11"/>
  <c r="W10" i="11"/>
  <c r="U10" i="11"/>
  <c r="S10" i="11"/>
  <c r="Q10" i="11"/>
  <c r="O10" i="11"/>
  <c r="M10" i="11"/>
  <c r="K10" i="11"/>
  <c r="F10" i="11"/>
  <c r="D10" i="11"/>
  <c r="AF9" i="11"/>
  <c r="AD9" i="11"/>
  <c r="Y9" i="11"/>
  <c r="W9" i="11"/>
  <c r="U9" i="11"/>
  <c r="S9" i="11"/>
  <c r="Q9" i="11"/>
  <c r="O9" i="11"/>
  <c r="M9" i="11"/>
  <c r="K9" i="11"/>
  <c r="F9" i="11"/>
  <c r="D9" i="11"/>
  <c r="AF8" i="11"/>
  <c r="AD8" i="11"/>
  <c r="Y8" i="11"/>
  <c r="W8" i="11"/>
  <c r="U8" i="11"/>
  <c r="S8" i="11"/>
  <c r="Q8" i="11"/>
  <c r="O8" i="11"/>
  <c r="M8" i="11"/>
  <c r="K8" i="11"/>
  <c r="F8" i="11"/>
  <c r="D8" i="11"/>
  <c r="AF7" i="11"/>
  <c r="AD7" i="11"/>
  <c r="Y7" i="11"/>
  <c r="U7" i="11"/>
  <c r="S7" i="11"/>
  <c r="Q7" i="11"/>
  <c r="O7" i="11"/>
  <c r="M7" i="11"/>
  <c r="K7" i="11"/>
  <c r="F7" i="11"/>
  <c r="D7" i="11"/>
  <c r="AF6" i="11"/>
  <c r="AD6" i="11"/>
  <c r="Y6" i="11"/>
  <c r="W6" i="11"/>
  <c r="U6" i="11"/>
  <c r="S6" i="11"/>
  <c r="Q6" i="11"/>
  <c r="O6" i="11"/>
  <c r="M6" i="11"/>
  <c r="K6" i="11"/>
  <c r="F6" i="11"/>
  <c r="D6" i="11"/>
  <c r="AF5" i="11"/>
  <c r="AD5" i="11"/>
  <c r="Y5" i="11"/>
  <c r="W5" i="11"/>
  <c r="U5" i="11"/>
  <c r="S5" i="11"/>
  <c r="S14" i="11" s="1"/>
  <c r="Q5" i="11"/>
  <c r="O5" i="11"/>
  <c r="M5" i="11"/>
  <c r="K5" i="11"/>
  <c r="K14" i="11" s="1"/>
  <c r="F5" i="11"/>
  <c r="D5" i="11"/>
  <c r="AG7" i="11" l="1"/>
  <c r="AG10" i="11"/>
  <c r="AG5" i="11"/>
  <c r="AG6" i="11"/>
  <c r="AG8" i="11"/>
  <c r="AG9" i="11"/>
  <c r="AG11" i="11"/>
  <c r="M14" i="11"/>
  <c r="U14" i="11"/>
  <c r="AF14" i="11"/>
  <c r="AG12" i="11"/>
  <c r="AG13" i="11"/>
  <c r="O14" i="11"/>
  <c r="F14" i="11"/>
  <c r="Q14" i="11"/>
  <c r="Y14" i="11"/>
  <c r="W14" i="11"/>
  <c r="D14" i="11"/>
  <c r="AD14" i="11"/>
  <c r="AJ14" i="11" l="1"/>
  <c r="AH14" i="11"/>
  <c r="G3" i="11"/>
  <c r="AG14" i="11"/>
  <c r="G11" i="11" l="1"/>
  <c r="G13" i="11"/>
  <c r="G12" i="11"/>
  <c r="H2" i="11"/>
  <c r="H9" i="11" l="1"/>
  <c r="H11" i="11"/>
  <c r="H5" i="11"/>
  <c r="H8" i="11"/>
  <c r="Z8" i="11" s="1"/>
  <c r="AB8" i="11" s="1"/>
  <c r="AL8" i="11" s="1"/>
  <c r="H12" i="11"/>
  <c r="I12" i="11" s="1"/>
  <c r="Z12" i="11" s="1"/>
  <c r="AB12" i="11" s="1"/>
  <c r="AL12" i="11" s="1"/>
  <c r="I11" i="11"/>
  <c r="Z11" i="11" s="1"/>
  <c r="AB11" i="11" s="1"/>
  <c r="AL11" i="11" s="1"/>
  <c r="H6" i="11"/>
  <c r="I6" i="11" s="1"/>
  <c r="Z6" i="11" s="1"/>
  <c r="AB6" i="11" s="1"/>
  <c r="AL6" i="11" s="1"/>
  <c r="H13" i="11"/>
  <c r="I13" i="11" s="1"/>
  <c r="Z13" i="11" s="1"/>
  <c r="AB13" i="11" s="1"/>
  <c r="AL13" i="11" s="1"/>
  <c r="I9" i="11"/>
  <c r="Z9" i="11" s="1"/>
  <c r="AB9" i="11" s="1"/>
  <c r="AL9" i="11" s="1"/>
  <c r="G14" i="11"/>
  <c r="H7" i="11"/>
  <c r="I7" i="11" s="1"/>
  <c r="H10" i="11"/>
  <c r="I10" i="11" s="1"/>
  <c r="Z10" i="11" s="1"/>
  <c r="AB10" i="11" s="1"/>
  <c r="AL10" i="11" s="1"/>
  <c r="I5" i="11"/>
  <c r="Z5" i="11" s="1"/>
  <c r="Z7" i="11" l="1"/>
  <c r="AB7" i="11" s="1"/>
  <c r="H14" i="11"/>
  <c r="I14" i="11"/>
  <c r="AB5" i="11"/>
  <c r="AB14" i="11" l="1"/>
  <c r="AL5" i="11"/>
  <c r="AL14" i="11" s="1"/>
  <c r="Z14" i="11"/>
  <c r="AM15" i="11" s="1"/>
  <c r="AA9" i="1"/>
  <c r="AA10" i="1"/>
  <c r="AA16" i="1"/>
  <c r="AA17" i="1"/>
  <c r="AA11" i="1"/>
  <c r="Y11" i="1"/>
  <c r="AA12" i="1"/>
  <c r="AA13" i="1"/>
  <c r="AA14" i="1"/>
  <c r="AA15" i="1"/>
  <c r="B13" i="7" l="1"/>
  <c r="C13" i="7"/>
  <c r="E13" i="7"/>
  <c r="G13" i="7"/>
  <c r="I13" i="7"/>
  <c r="K13" i="7"/>
  <c r="M13" i="7"/>
  <c r="O13" i="7"/>
  <c r="Q13" i="7"/>
  <c r="S13" i="7"/>
  <c r="U13" i="7"/>
  <c r="Y13" i="7"/>
  <c r="AA13" i="7"/>
  <c r="AC20" i="1" l="1"/>
  <c r="AB10" i="1"/>
  <c r="AB13" i="1"/>
  <c r="AB15" i="1"/>
  <c r="AB16" i="1"/>
  <c r="AB17" i="1"/>
  <c r="AB9" i="1"/>
  <c r="D9" i="1"/>
  <c r="D18" i="1" s="1"/>
  <c r="J9" i="1"/>
  <c r="J18" i="1" s="1"/>
  <c r="L9" i="1"/>
  <c r="M9" i="1"/>
  <c r="N9" i="1" s="1"/>
  <c r="P9" i="1"/>
  <c r="P18" i="1" s="1"/>
  <c r="P19" i="1" s="1"/>
  <c r="R9" i="1"/>
  <c r="T9" i="1"/>
  <c r="V9" i="1"/>
  <c r="Y9" i="1"/>
  <c r="D10" i="1"/>
  <c r="J10" i="1"/>
  <c r="L10" i="1"/>
  <c r="M10" i="1"/>
  <c r="N10" i="1"/>
  <c r="P10" i="1"/>
  <c r="R10" i="1"/>
  <c r="T10" i="1"/>
  <c r="V10" i="1"/>
  <c r="Y10" i="1"/>
  <c r="D11" i="1"/>
  <c r="J11" i="1"/>
  <c r="L11" i="1"/>
  <c r="N11" i="1"/>
  <c r="P11" i="1"/>
  <c r="R11" i="1"/>
  <c r="T11" i="1"/>
  <c r="V11" i="1"/>
  <c r="AB11" i="1"/>
  <c r="D12" i="1"/>
  <c r="J12" i="1"/>
  <c r="L12" i="1"/>
  <c r="L18" i="1" s="1"/>
  <c r="M12" i="1"/>
  <c r="N12" i="1" s="1"/>
  <c r="P12" i="1"/>
  <c r="R12" i="1"/>
  <c r="T12" i="1"/>
  <c r="V12" i="1"/>
  <c r="Y12" i="1"/>
  <c r="AB12" i="1" s="1"/>
  <c r="D13" i="1"/>
  <c r="J13" i="1"/>
  <c r="L13" i="1"/>
  <c r="M13" i="1"/>
  <c r="N13" i="1"/>
  <c r="P13" i="1"/>
  <c r="R13" i="1"/>
  <c r="T13" i="1"/>
  <c r="V13" i="1"/>
  <c r="Y13" i="1"/>
  <c r="D14" i="1"/>
  <c r="J14" i="1"/>
  <c r="L14" i="1"/>
  <c r="M14" i="1"/>
  <c r="N14" i="1"/>
  <c r="P14" i="1"/>
  <c r="R14" i="1"/>
  <c r="T14" i="1"/>
  <c r="V14" i="1"/>
  <c r="Y14" i="1"/>
  <c r="AB14" i="1" s="1"/>
  <c r="D15" i="1"/>
  <c r="J15" i="1"/>
  <c r="L15" i="1"/>
  <c r="M15" i="1"/>
  <c r="N15" i="1"/>
  <c r="P15" i="1"/>
  <c r="R15" i="1"/>
  <c r="T15" i="1"/>
  <c r="V15" i="1"/>
  <c r="Y15" i="1"/>
  <c r="D16" i="1"/>
  <c r="J16" i="1"/>
  <c r="L16" i="1"/>
  <c r="M16" i="1"/>
  <c r="N16" i="1"/>
  <c r="P16" i="1"/>
  <c r="R16" i="1"/>
  <c r="T16" i="1"/>
  <c r="V16" i="1"/>
  <c r="Y16" i="1"/>
  <c r="D17" i="1"/>
  <c r="J17" i="1"/>
  <c r="L17" i="1"/>
  <c r="M17" i="1"/>
  <c r="N17" i="1"/>
  <c r="P17" i="1"/>
  <c r="R17" i="1"/>
  <c r="T17" i="1"/>
  <c r="V17" i="1"/>
  <c r="Y17" i="1"/>
  <c r="C18" i="1"/>
  <c r="C19" i="1" s="1"/>
  <c r="E18" i="1"/>
  <c r="I18" i="1"/>
  <c r="K18" i="1"/>
  <c r="K19" i="1" s="1"/>
  <c r="O18" i="1"/>
  <c r="O19" i="1" s="1"/>
  <c r="Q18" i="1"/>
  <c r="Q19" i="1" s="1"/>
  <c r="S18" i="1"/>
  <c r="S19" i="1" s="1"/>
  <c r="T18" i="1"/>
  <c r="U18" i="1"/>
  <c r="V18" i="1"/>
  <c r="X18" i="1"/>
  <c r="Y18" i="1" s="1"/>
  <c r="Z18" i="1"/>
  <c r="AA18" i="1"/>
  <c r="I19" i="1"/>
  <c r="T19" i="1"/>
  <c r="U19" i="1"/>
  <c r="D20" i="1"/>
  <c r="J20" i="1"/>
  <c r="J19" i="1" s="1"/>
  <c r="L20" i="1"/>
  <c r="N20" i="1"/>
  <c r="P20" i="1"/>
  <c r="R20" i="1"/>
  <c r="T20" i="1"/>
  <c r="V20" i="1"/>
  <c r="V19" i="1" s="1"/>
  <c r="Y20" i="1"/>
  <c r="AB20" i="1" s="1"/>
  <c r="AJ9" i="1"/>
  <c r="AL9" i="1"/>
  <c r="AJ10" i="1"/>
  <c r="AL10" i="1"/>
  <c r="AJ11" i="1"/>
  <c r="AL11" i="1"/>
  <c r="AL18" i="1" s="1"/>
  <c r="AJ12" i="1"/>
  <c r="AL12" i="1"/>
  <c r="AJ13" i="1"/>
  <c r="AL13" i="1"/>
  <c r="AJ14" i="1"/>
  <c r="AL14" i="1"/>
  <c r="AJ15" i="1"/>
  <c r="AL15" i="1"/>
  <c r="AJ16" i="1"/>
  <c r="AL16" i="1"/>
  <c r="AJ17" i="1"/>
  <c r="AL17" i="1"/>
  <c r="AJ18" i="1"/>
  <c r="AK18" i="1"/>
  <c r="AJ19" i="1"/>
  <c r="AJ20" i="1"/>
  <c r="AL20" i="1"/>
  <c r="R18" i="1" l="1"/>
  <c r="R19" i="1"/>
  <c r="M18" i="1"/>
  <c r="M19" i="1" s="1"/>
  <c r="N18" i="1"/>
  <c r="N19" i="1" s="1"/>
  <c r="L19" i="1"/>
  <c r="X19" i="1"/>
  <c r="AB18" i="1"/>
  <c r="F8" i="1"/>
  <c r="F21" i="1"/>
  <c r="D19" i="1"/>
  <c r="H20" i="1"/>
  <c r="Y19" i="1"/>
  <c r="AB19" i="1" s="1"/>
  <c r="V4" i="7"/>
  <c r="V5" i="7"/>
  <c r="V6" i="7"/>
  <c r="V7" i="7"/>
  <c r="V8" i="7"/>
  <c r="V9" i="7"/>
  <c r="V10" i="7"/>
  <c r="V11" i="7"/>
  <c r="V12" i="7"/>
  <c r="T4" i="7"/>
  <c r="T5" i="7"/>
  <c r="T6" i="7"/>
  <c r="T7" i="7"/>
  <c r="T8" i="7"/>
  <c r="T9" i="7"/>
  <c r="T10" i="7"/>
  <c r="T11" i="7"/>
  <c r="T12" i="7"/>
  <c r="R4" i="7"/>
  <c r="R5" i="7"/>
  <c r="R6" i="7"/>
  <c r="R7" i="7"/>
  <c r="R8" i="7"/>
  <c r="R9" i="7"/>
  <c r="R10" i="7"/>
  <c r="R11" i="7"/>
  <c r="R12" i="7"/>
  <c r="P4" i="7"/>
  <c r="P5" i="7"/>
  <c r="P6" i="7"/>
  <c r="P7" i="7"/>
  <c r="P8" i="7"/>
  <c r="P9" i="7"/>
  <c r="P10" i="7"/>
  <c r="P11" i="7"/>
  <c r="P12" i="7"/>
  <c r="N4" i="7"/>
  <c r="N5" i="7"/>
  <c r="N6" i="7"/>
  <c r="N7" i="7"/>
  <c r="N8" i="7"/>
  <c r="N9" i="7"/>
  <c r="N10" i="7"/>
  <c r="N11" i="7"/>
  <c r="N12" i="7"/>
  <c r="AB12" i="7"/>
  <c r="Z12" i="7"/>
  <c r="L12" i="7"/>
  <c r="J12" i="7"/>
  <c r="H12" i="7"/>
  <c r="F12" i="7"/>
  <c r="D12" i="7"/>
  <c r="AB11" i="7"/>
  <c r="Z11" i="7"/>
  <c r="L11" i="7"/>
  <c r="J11" i="7"/>
  <c r="H11" i="7"/>
  <c r="F11" i="7"/>
  <c r="D11" i="7"/>
  <c r="AB10" i="7"/>
  <c r="Z10" i="7"/>
  <c r="AC10" i="7" s="1"/>
  <c r="L10" i="7"/>
  <c r="J10" i="7"/>
  <c r="H10" i="7"/>
  <c r="F10" i="7"/>
  <c r="D10" i="7"/>
  <c r="AB9" i="7"/>
  <c r="Z9" i="7"/>
  <c r="L9" i="7"/>
  <c r="J9" i="7"/>
  <c r="H9" i="7"/>
  <c r="F9" i="7"/>
  <c r="D9" i="7"/>
  <c r="AB8" i="7"/>
  <c r="Z8" i="7"/>
  <c r="L8" i="7"/>
  <c r="J8" i="7"/>
  <c r="H8" i="7"/>
  <c r="F8" i="7"/>
  <c r="D8" i="7"/>
  <c r="AB7" i="7"/>
  <c r="Z7" i="7"/>
  <c r="L7" i="7"/>
  <c r="J7" i="7"/>
  <c r="H7" i="7"/>
  <c r="F7" i="7"/>
  <c r="D7" i="7"/>
  <c r="AB6" i="7"/>
  <c r="Z6" i="7"/>
  <c r="AC6" i="7" s="1"/>
  <c r="L6" i="7"/>
  <c r="J6" i="7"/>
  <c r="H6" i="7"/>
  <c r="F6" i="7"/>
  <c r="D6" i="7"/>
  <c r="AB5" i="7"/>
  <c r="Z5" i="7"/>
  <c r="L5" i="7"/>
  <c r="J5" i="7"/>
  <c r="H5" i="7"/>
  <c r="F5" i="7"/>
  <c r="D5" i="7"/>
  <c r="X5" i="7" s="1"/>
  <c r="AB4" i="7"/>
  <c r="Z4" i="7"/>
  <c r="L4" i="7"/>
  <c r="J4" i="7"/>
  <c r="H4" i="7"/>
  <c r="F4" i="7"/>
  <c r="D4" i="7"/>
  <c r="X4" i="7" l="1"/>
  <c r="F13" i="7"/>
  <c r="X7" i="7"/>
  <c r="AC9" i="7"/>
  <c r="X11" i="7"/>
  <c r="R13" i="7"/>
  <c r="AC4" i="7"/>
  <c r="Z13" i="7"/>
  <c r="X6" i="7"/>
  <c r="X10" i="7"/>
  <c r="J13" i="7"/>
  <c r="W5" i="7"/>
  <c r="AC7" i="7"/>
  <c r="W9" i="7"/>
  <c r="X9" i="7"/>
  <c r="AC11" i="7"/>
  <c r="N13" i="7"/>
  <c r="D13" i="7"/>
  <c r="L13" i="7"/>
  <c r="X8" i="7"/>
  <c r="X12" i="7"/>
  <c r="P13" i="7"/>
  <c r="AB13" i="7"/>
  <c r="T13" i="7"/>
  <c r="H13" i="7"/>
  <c r="V13" i="7"/>
  <c r="AC5" i="7"/>
  <c r="W7" i="7"/>
  <c r="W6" i="7"/>
  <c r="W10" i="7"/>
  <c r="W4" i="7"/>
  <c r="W8" i="7"/>
  <c r="W12" i="7"/>
  <c r="W11" i="7"/>
  <c r="W20" i="1"/>
  <c r="AM20" i="1" s="1"/>
  <c r="F9" i="1"/>
  <c r="F10" i="1"/>
  <c r="G10" i="1" s="1"/>
  <c r="H10" i="1" s="1"/>
  <c r="W10" i="1" s="1"/>
  <c r="F11" i="1"/>
  <c r="G11" i="1" s="1"/>
  <c r="H11" i="1" s="1"/>
  <c r="F12" i="1"/>
  <c r="G12" i="1" s="1"/>
  <c r="H12" i="1" s="1"/>
  <c r="W12" i="1" s="1"/>
  <c r="F13" i="1"/>
  <c r="G13" i="1" s="1"/>
  <c r="H13" i="1" s="1"/>
  <c r="W13" i="1" s="1"/>
  <c r="F14" i="1"/>
  <c r="G14" i="1" s="1"/>
  <c r="H14" i="1" s="1"/>
  <c r="W14" i="1" s="1"/>
  <c r="F15" i="1"/>
  <c r="G15" i="1" s="1"/>
  <c r="H15" i="1" s="1"/>
  <c r="W15" i="1" s="1"/>
  <c r="F16" i="1"/>
  <c r="G16" i="1" s="1"/>
  <c r="H16" i="1" s="1"/>
  <c r="W16" i="1" s="1"/>
  <c r="F17" i="1"/>
  <c r="G17" i="1" s="1"/>
  <c r="H17" i="1" s="1"/>
  <c r="W17" i="1" s="1"/>
  <c r="AC12" i="7"/>
  <c r="AC8" i="7"/>
  <c r="AM15" i="1" l="1"/>
  <c r="AC15" i="1"/>
  <c r="AM17" i="1"/>
  <c r="AC17" i="1"/>
  <c r="AM16" i="1"/>
  <c r="AC16" i="1"/>
  <c r="AM11" i="1"/>
  <c r="W11" i="1"/>
  <c r="AC11" i="1" s="1"/>
  <c r="AM10" i="1"/>
  <c r="AC10" i="1"/>
  <c r="AM14" i="1"/>
  <c r="AC14" i="1"/>
  <c r="AM13" i="1"/>
  <c r="AC13" i="1"/>
  <c r="AM12" i="1"/>
  <c r="AC12" i="1"/>
  <c r="AD7" i="7"/>
  <c r="AE7" i="7" s="1"/>
  <c r="AD4" i="7"/>
  <c r="AD8" i="7"/>
  <c r="AE8" i="7" s="1"/>
  <c r="AD12" i="7"/>
  <c r="AE12" i="7" s="1"/>
  <c r="AD9" i="7"/>
  <c r="AE9" i="7" s="1"/>
  <c r="AE6" i="7"/>
  <c r="AF6" i="7" s="1"/>
  <c r="AF13" i="7" s="1"/>
  <c r="AD11" i="7"/>
  <c r="AE11" i="7" s="1"/>
  <c r="AD10" i="7"/>
  <c r="AE10" i="7" s="1"/>
  <c r="AD5" i="7"/>
  <c r="AE5" i="7" s="1"/>
  <c r="X13" i="7"/>
  <c r="W13" i="7"/>
  <c r="AC13" i="7"/>
  <c r="F18" i="1"/>
  <c r="G9" i="1"/>
  <c r="AD13" i="7" l="1"/>
  <c r="H9" i="1"/>
  <c r="G18" i="1"/>
  <c r="G20" i="1" s="1"/>
  <c r="AK10" i="3"/>
  <c r="AJ10" i="4"/>
  <c r="AF9" i="6" s="1"/>
  <c r="AE9" i="1"/>
  <c r="AG9" i="1"/>
  <c r="AR10" i="3"/>
  <c r="AQ10" i="4"/>
  <c r="AM9" i="6" s="1"/>
  <c r="AI9" i="1"/>
  <c r="AE10" i="1"/>
  <c r="AE11" i="1"/>
  <c r="AE12" i="1"/>
  <c r="AE13" i="1"/>
  <c r="AR14" i="3"/>
  <c r="AQ14" i="4"/>
  <c r="AM13" i="6" s="1"/>
  <c r="AE14" i="1"/>
  <c r="AE15" i="1"/>
  <c r="AR16" i="3"/>
  <c r="AQ16" i="4" s="1"/>
  <c r="AM15" i="6" s="1"/>
  <c r="AE16" i="1"/>
  <c r="AE17" i="1"/>
  <c r="AR18" i="3"/>
  <c r="AQ18" i="4"/>
  <c r="AM17" i="6" s="1"/>
  <c r="AG10" i="1"/>
  <c r="AG11" i="1"/>
  <c r="AG12" i="1"/>
  <c r="AR13" i="3"/>
  <c r="AQ13" i="4"/>
  <c r="AM12" i="6" s="1"/>
  <c r="AG13" i="1"/>
  <c r="AG14" i="1"/>
  <c r="AG15" i="1"/>
  <c r="AG16" i="1"/>
  <c r="AR17" i="3"/>
  <c r="AQ17" i="4" s="1"/>
  <c r="AM16" i="6" s="1"/>
  <c r="AG17" i="1"/>
  <c r="AH18" i="1"/>
  <c r="AI18" i="1"/>
  <c r="AR20" i="3"/>
  <c r="AQ20" i="4" s="1"/>
  <c r="AM19" i="6" s="1"/>
  <c r="AI10" i="1"/>
  <c r="AI11" i="1"/>
  <c r="AK13" i="3"/>
  <c r="AJ13" i="4" s="1"/>
  <c r="AF12" i="6" s="1"/>
  <c r="AI12" i="1"/>
  <c r="AI13" i="1"/>
  <c r="AK15" i="3"/>
  <c r="AJ15" i="4" s="1"/>
  <c r="AF14" i="6" s="1"/>
  <c r="AI14" i="1"/>
  <c r="AI15" i="1"/>
  <c r="AK17" i="3"/>
  <c r="AJ17" i="4" s="1"/>
  <c r="AF16" i="6" s="1"/>
  <c r="AI16" i="1"/>
  <c r="AK18" i="3"/>
  <c r="AJ18" i="4" s="1"/>
  <c r="AF17" i="6" s="1"/>
  <c r="AI17" i="1"/>
  <c r="M13" i="4"/>
  <c r="K18" i="4"/>
  <c r="K17" i="4"/>
  <c r="N8" i="4"/>
  <c r="N12" i="4"/>
  <c r="M8" i="4"/>
  <c r="M14" i="4"/>
  <c r="L8" i="4"/>
  <c r="L10" i="4"/>
  <c r="K8" i="4"/>
  <c r="K16" i="4"/>
  <c r="O8" i="3"/>
  <c r="O15" i="3"/>
  <c r="N8" i="3"/>
  <c r="N10" i="3"/>
  <c r="M8" i="3"/>
  <c r="M18" i="3"/>
  <c r="L8" i="3"/>
  <c r="L18" i="3"/>
  <c r="K8" i="3"/>
  <c r="K15" i="3"/>
  <c r="Q21" i="3"/>
  <c r="AS5" i="3"/>
  <c r="AR5" i="4"/>
  <c r="AN5" i="6" s="1"/>
  <c r="AL5" i="3"/>
  <c r="AK5" i="4" s="1"/>
  <c r="AG5" i="6" s="1"/>
  <c r="AR5" i="3"/>
  <c r="AQ5" i="4"/>
  <c r="AM5" i="6" s="1"/>
  <c r="AL6" i="3"/>
  <c r="AK6" i="4" s="1"/>
  <c r="AG6" i="6" s="1"/>
  <c r="AL7" i="3"/>
  <c r="AK7" i="4"/>
  <c r="AG7" i="6" s="1"/>
  <c r="AN7" i="3"/>
  <c r="AM7" i="4" s="1"/>
  <c r="AI7" i="6" s="1"/>
  <c r="AP7" i="3"/>
  <c r="AO7" i="4"/>
  <c r="AK7" i="6" s="1"/>
  <c r="AL9" i="3"/>
  <c r="AK9" i="4" s="1"/>
  <c r="AG8" i="6" s="1"/>
  <c r="AM9" i="3"/>
  <c r="AL9" i="4"/>
  <c r="AH8" i="6" s="1"/>
  <c r="AN9" i="3"/>
  <c r="AM9" i="4" s="1"/>
  <c r="AI8" i="6" s="1"/>
  <c r="AO9" i="3"/>
  <c r="AN9" i="4"/>
  <c r="AJ8" i="6" s="1"/>
  <c r="AP9" i="3"/>
  <c r="AO9" i="4" s="1"/>
  <c r="AK8" i="6" s="1"/>
  <c r="AQ9" i="3"/>
  <c r="AP9" i="4"/>
  <c r="AL8" i="6" s="1"/>
  <c r="AL10" i="3"/>
  <c r="AK10" i="4" s="1"/>
  <c r="AG9" i="6" s="1"/>
  <c r="AM10" i="3"/>
  <c r="AL10" i="4"/>
  <c r="AH9" i="6" s="1"/>
  <c r="AN10" i="3"/>
  <c r="AM10" i="4" s="1"/>
  <c r="AI9" i="6" s="1"/>
  <c r="AO10" i="3"/>
  <c r="AN10" i="4"/>
  <c r="AJ9" i="6" s="1"/>
  <c r="AP10" i="3"/>
  <c r="AO10" i="4" s="1"/>
  <c r="AK9" i="6" s="1"/>
  <c r="AQ10" i="3"/>
  <c r="AP10" i="4"/>
  <c r="AL9" i="6" s="1"/>
  <c r="AL11" i="3"/>
  <c r="AK11" i="4" s="1"/>
  <c r="AG10" i="6" s="1"/>
  <c r="AM11" i="3"/>
  <c r="AL11" i="4"/>
  <c r="AH10" i="6" s="1"/>
  <c r="AN11" i="3"/>
  <c r="AM11" i="4" s="1"/>
  <c r="AI10" i="6" s="1"/>
  <c r="AO11" i="3"/>
  <c r="AN11" i="4"/>
  <c r="AJ10" i="6" s="1"/>
  <c r="AP11" i="3"/>
  <c r="AO11" i="4" s="1"/>
  <c r="AK10" i="6" s="1"/>
  <c r="AQ11" i="3"/>
  <c r="AP11" i="4"/>
  <c r="AL10" i="6" s="1"/>
  <c r="AR11" i="3"/>
  <c r="AQ11" i="4" s="1"/>
  <c r="AM10" i="6" s="1"/>
  <c r="AL12" i="3"/>
  <c r="AK12" i="4"/>
  <c r="AG11" i="6" s="1"/>
  <c r="AM12" i="3"/>
  <c r="AL12" i="4" s="1"/>
  <c r="AH11" i="6" s="1"/>
  <c r="AN12" i="3"/>
  <c r="AM12" i="4"/>
  <c r="AI11" i="6" s="1"/>
  <c r="AO12" i="3"/>
  <c r="AN12" i="4" s="1"/>
  <c r="AJ11" i="6" s="1"/>
  <c r="AP12" i="3"/>
  <c r="AO12" i="4"/>
  <c r="AK11" i="6" s="1"/>
  <c r="AQ12" i="3"/>
  <c r="AP12" i="4" s="1"/>
  <c r="AL11" i="6" s="1"/>
  <c r="AR12" i="3"/>
  <c r="AQ12" i="4"/>
  <c r="AM11" i="6" s="1"/>
  <c r="AL13" i="3"/>
  <c r="AK13" i="4" s="1"/>
  <c r="AG12" i="6" s="1"/>
  <c r="AM13" i="3"/>
  <c r="AL13" i="4"/>
  <c r="AH12" i="6" s="1"/>
  <c r="AN13" i="3"/>
  <c r="AM13" i="4" s="1"/>
  <c r="AI12" i="6" s="1"/>
  <c r="AO13" i="3"/>
  <c r="AN13" i="4"/>
  <c r="AJ12" i="6" s="1"/>
  <c r="AP13" i="3"/>
  <c r="AO13" i="4" s="1"/>
  <c r="AK12" i="6" s="1"/>
  <c r="AQ13" i="3"/>
  <c r="AP13" i="4"/>
  <c r="AL12" i="6" s="1"/>
  <c r="AL14" i="3"/>
  <c r="AK14" i="4" s="1"/>
  <c r="AG13" i="6" s="1"/>
  <c r="AM14" i="3"/>
  <c r="AL14" i="4"/>
  <c r="AH13" i="6" s="1"/>
  <c r="AN14" i="3"/>
  <c r="AM14" i="4" s="1"/>
  <c r="AI13" i="6" s="1"/>
  <c r="AO14" i="3"/>
  <c r="AN14" i="4"/>
  <c r="AJ13" i="6" s="1"/>
  <c r="AP14" i="3"/>
  <c r="AO14" i="4" s="1"/>
  <c r="AK13" i="6" s="1"/>
  <c r="AQ14" i="3"/>
  <c r="AP14" i="4"/>
  <c r="AL13" i="6" s="1"/>
  <c r="AL15" i="3"/>
  <c r="AK15" i="4" s="1"/>
  <c r="AG14" i="6" s="1"/>
  <c r="AM15" i="3"/>
  <c r="AL15" i="4"/>
  <c r="AH14" i="6" s="1"/>
  <c r="AN15" i="3"/>
  <c r="AM15" i="4" s="1"/>
  <c r="AI14" i="6" s="1"/>
  <c r="AO15" i="3"/>
  <c r="AN15" i="4"/>
  <c r="AJ14" i="6" s="1"/>
  <c r="AP15" i="3"/>
  <c r="AO15" i="4" s="1"/>
  <c r="AK14" i="6" s="1"/>
  <c r="AQ15" i="3"/>
  <c r="AP15" i="4"/>
  <c r="AL14" i="6" s="1"/>
  <c r="AR15" i="3"/>
  <c r="AQ15" i="4" s="1"/>
  <c r="AM14" i="6" s="1"/>
  <c r="AL16" i="3"/>
  <c r="AK16" i="4"/>
  <c r="AG15" i="6" s="1"/>
  <c r="AM16" i="3"/>
  <c r="AL16" i="4" s="1"/>
  <c r="AH15" i="6" s="1"/>
  <c r="AN16" i="3"/>
  <c r="AM16" i="4"/>
  <c r="AI15" i="6" s="1"/>
  <c r="AO16" i="3"/>
  <c r="AN16" i="4" s="1"/>
  <c r="AJ15" i="6" s="1"/>
  <c r="AP16" i="3"/>
  <c r="AO16" i="4"/>
  <c r="AK15" i="6" s="1"/>
  <c r="AQ16" i="3"/>
  <c r="AP16" i="4" s="1"/>
  <c r="AL15" i="6" s="1"/>
  <c r="AL17" i="3"/>
  <c r="AK17" i="4"/>
  <c r="AG16" i="6" s="1"/>
  <c r="AM17" i="3"/>
  <c r="AL17" i="4" s="1"/>
  <c r="AH16" i="6" s="1"/>
  <c r="AN17" i="3"/>
  <c r="AM17" i="4"/>
  <c r="AI16" i="6" s="1"/>
  <c r="AO17" i="3"/>
  <c r="AN17" i="4" s="1"/>
  <c r="AJ16" i="6" s="1"/>
  <c r="AP17" i="3"/>
  <c r="AO17" i="4"/>
  <c r="AK16" i="6" s="1"/>
  <c r="AQ17" i="3"/>
  <c r="AP17" i="4" s="1"/>
  <c r="AL16" i="6" s="1"/>
  <c r="AL18" i="3"/>
  <c r="AK18" i="4"/>
  <c r="AG17" i="6" s="1"/>
  <c r="AM18" i="3"/>
  <c r="AL18" i="4" s="1"/>
  <c r="AH17" i="6" s="1"/>
  <c r="AN18" i="3"/>
  <c r="AM18" i="4"/>
  <c r="AI17" i="6" s="1"/>
  <c r="AO18" i="3"/>
  <c r="AN18" i="4" s="1"/>
  <c r="AJ17" i="6" s="1"/>
  <c r="AP18" i="3"/>
  <c r="AO18" i="4"/>
  <c r="AK17" i="6" s="1"/>
  <c r="AQ18" i="3"/>
  <c r="AP18" i="4" s="1"/>
  <c r="AL17" i="6" s="1"/>
  <c r="AD18" i="1"/>
  <c r="AL19" i="3"/>
  <c r="AK19" i="4" s="1"/>
  <c r="AG18" i="6" s="1"/>
  <c r="AF18" i="1"/>
  <c r="AN19" i="3"/>
  <c r="AM19" i="4" s="1"/>
  <c r="AI18" i="6" s="1"/>
  <c r="AP19" i="3"/>
  <c r="AO19" i="4"/>
  <c r="AK18" i="6" s="1"/>
  <c r="AQ19" i="3"/>
  <c r="AP19" i="4" s="1"/>
  <c r="AL18" i="6" s="1"/>
  <c r="AL20" i="3"/>
  <c r="AK20" i="4"/>
  <c r="AG19" i="6" s="1"/>
  <c r="AM20" i="3"/>
  <c r="AL20" i="4" s="1"/>
  <c r="AH19" i="6" s="1"/>
  <c r="AN20" i="3"/>
  <c r="AM20" i="4"/>
  <c r="AI19" i="6" s="1"/>
  <c r="AO20" i="3"/>
  <c r="AN20" i="4" s="1"/>
  <c r="AJ19" i="6" s="1"/>
  <c r="AP20" i="3"/>
  <c r="AO20" i="4"/>
  <c r="AK19" i="6" s="1"/>
  <c r="AQ20" i="3"/>
  <c r="AP20" i="4" s="1"/>
  <c r="AL19" i="6" s="1"/>
  <c r="AL21" i="3"/>
  <c r="AK21" i="4"/>
  <c r="AG20" i="6" s="1"/>
  <c r="AM21" i="3"/>
  <c r="AL21" i="4" s="1"/>
  <c r="AH20" i="6" s="1"/>
  <c r="AN21" i="3"/>
  <c r="AM21" i="4"/>
  <c r="AI20" i="6" s="1"/>
  <c r="AO21" i="3"/>
  <c r="AN21" i="4" s="1"/>
  <c r="AJ20" i="6" s="1"/>
  <c r="AP21" i="3"/>
  <c r="AO21" i="4"/>
  <c r="AK20" i="6" s="1"/>
  <c r="AQ21" i="3"/>
  <c r="AP21" i="4" s="1"/>
  <c r="AL20" i="6" s="1"/>
  <c r="AR21" i="3"/>
  <c r="AQ21" i="4"/>
  <c r="AM20" i="6" s="1"/>
  <c r="AF5" i="4"/>
  <c r="AB5" i="6"/>
  <c r="AH5" i="4"/>
  <c r="AD5" i="6"/>
  <c r="AF6" i="4"/>
  <c r="AB6" i="6"/>
  <c r="AF9" i="4"/>
  <c r="AB8" i="6"/>
  <c r="AG9" i="4"/>
  <c r="AC8" i="6"/>
  <c r="AF10" i="4"/>
  <c r="AB9" i="6"/>
  <c r="AF11" i="4"/>
  <c r="AB10" i="6"/>
  <c r="AF12" i="4"/>
  <c r="AB11" i="6"/>
  <c r="AF13" i="4"/>
  <c r="AB12" i="6"/>
  <c r="AF14" i="4"/>
  <c r="AB13" i="6"/>
  <c r="AF15" i="4"/>
  <c r="AB14" i="6"/>
  <c r="AF16" i="4"/>
  <c r="AB15" i="6"/>
  <c r="AF17" i="4"/>
  <c r="AB16" i="6"/>
  <c r="AF18" i="4"/>
  <c r="AB17" i="6"/>
  <c r="AF20" i="4"/>
  <c r="AB19" i="6"/>
  <c r="AF21" i="4"/>
  <c r="AB20" i="6"/>
  <c r="AK5" i="3"/>
  <c r="AJ5" i="4" s="1"/>
  <c r="AF5" i="6" s="1"/>
  <c r="AI6" i="3"/>
  <c r="AH6" i="4"/>
  <c r="AD6" i="6" s="1"/>
  <c r="AI9" i="3"/>
  <c r="AH9" i="4" s="1"/>
  <c r="AD8" i="6" s="1"/>
  <c r="AJ9" i="3"/>
  <c r="AI9" i="4"/>
  <c r="AE8" i="6" s="1"/>
  <c r="AI10" i="3"/>
  <c r="AH10" i="4" s="1"/>
  <c r="AD9" i="6"/>
  <c r="AJ10" i="3"/>
  <c r="AI10" i="4"/>
  <c r="AE9" i="6" s="1"/>
  <c r="AI11" i="3"/>
  <c r="AH11" i="4" s="1"/>
  <c r="AD10" i="6" s="1"/>
  <c r="AJ11" i="3"/>
  <c r="AI11" i="4"/>
  <c r="AE10" i="6" s="1"/>
  <c r="AK11" i="3"/>
  <c r="AJ11" i="4" s="1"/>
  <c r="AF10" i="6" s="1"/>
  <c r="AI12" i="3"/>
  <c r="AH12" i="4"/>
  <c r="AD11" i="6" s="1"/>
  <c r="AJ12" i="3"/>
  <c r="AI12" i="4" s="1"/>
  <c r="AE11" i="6"/>
  <c r="AI13" i="3"/>
  <c r="AH13" i="4"/>
  <c r="AD12" i="6" s="1"/>
  <c r="AJ13" i="3"/>
  <c r="AI13" i="4" s="1"/>
  <c r="AE12" i="6" s="1"/>
  <c r="AI14" i="3"/>
  <c r="AH14" i="4"/>
  <c r="AD13" i="6" s="1"/>
  <c r="AJ14" i="3"/>
  <c r="AI14" i="4" s="1"/>
  <c r="AE13" i="6"/>
  <c r="AI15" i="3"/>
  <c r="AH15" i="4"/>
  <c r="AD14" i="6" s="1"/>
  <c r="AJ15" i="3"/>
  <c r="AI15" i="4" s="1"/>
  <c r="AE14" i="6" s="1"/>
  <c r="AI16" i="3"/>
  <c r="AH16" i="4"/>
  <c r="AD15" i="6" s="1"/>
  <c r="AJ16" i="3"/>
  <c r="AI16" i="4" s="1"/>
  <c r="AE15" i="6"/>
  <c r="AK16" i="3"/>
  <c r="AJ16" i="4" s="1"/>
  <c r="AF15" i="6" s="1"/>
  <c r="AI17" i="3"/>
  <c r="AH17" i="4" s="1"/>
  <c r="AD16" i="6" s="1"/>
  <c r="AJ17" i="3"/>
  <c r="AI17" i="4"/>
  <c r="AE16" i="6" s="1"/>
  <c r="AI18" i="3"/>
  <c r="AH18" i="4" s="1"/>
  <c r="AD17" i="6" s="1"/>
  <c r="AJ18" i="3"/>
  <c r="AI18" i="4"/>
  <c r="AE17" i="6" s="1"/>
  <c r="AI19" i="3"/>
  <c r="AH19" i="4" s="1"/>
  <c r="AD18" i="6"/>
  <c r="AI20" i="3"/>
  <c r="AH20" i="4"/>
  <c r="AD19" i="6" s="1"/>
  <c r="AI21" i="3"/>
  <c r="AH21" i="4" s="1"/>
  <c r="AD20" i="6" s="1"/>
  <c r="AJ21" i="3"/>
  <c r="AI21" i="4"/>
  <c r="AE20" i="6" s="1"/>
  <c r="AH11" i="3"/>
  <c r="AG11" i="4"/>
  <c r="AC10" i="6"/>
  <c r="AH12" i="3"/>
  <c r="AG12" i="4"/>
  <c r="AC11" i="6"/>
  <c r="AH13" i="3"/>
  <c r="AG13" i="4"/>
  <c r="AC12" i="6"/>
  <c r="AH14" i="3"/>
  <c r="AG14" i="4"/>
  <c r="AC13" i="6"/>
  <c r="AH15" i="3"/>
  <c r="AG15" i="4"/>
  <c r="AC14" i="6"/>
  <c r="AH16" i="3"/>
  <c r="AG16" i="4"/>
  <c r="AC15" i="6"/>
  <c r="AH17" i="3"/>
  <c r="AG17" i="4"/>
  <c r="AC16" i="6"/>
  <c r="AH18" i="3"/>
  <c r="AG18" i="4"/>
  <c r="AC17" i="6"/>
  <c r="AH20" i="3"/>
  <c r="AG20" i="4"/>
  <c r="AC19" i="6"/>
  <c r="AH21" i="3"/>
  <c r="AG21" i="4"/>
  <c r="AC20" i="6"/>
  <c r="AH10" i="3"/>
  <c r="AG10" i="4"/>
  <c r="AC9" i="6"/>
  <c r="AG19" i="3"/>
  <c r="AF19" i="4"/>
  <c r="AB18" i="6"/>
  <c r="AJ20" i="3"/>
  <c r="AI20" i="4" s="1"/>
  <c r="AE19" i="6"/>
  <c r="AJ19" i="3"/>
  <c r="AI19" i="4"/>
  <c r="AE18" i="6" s="1"/>
  <c r="Z19" i="6"/>
  <c r="X19" i="6"/>
  <c r="V19" i="6"/>
  <c r="T19" i="6"/>
  <c r="R19" i="6"/>
  <c r="P19" i="6"/>
  <c r="N19" i="6"/>
  <c r="AA19" i="6"/>
  <c r="H19" i="6"/>
  <c r="D19" i="6"/>
  <c r="Y18" i="6"/>
  <c r="Y20" i="6"/>
  <c r="W18" i="6"/>
  <c r="W20" i="6"/>
  <c r="U18" i="6"/>
  <c r="U20" i="6"/>
  <c r="S18" i="6"/>
  <c r="S20" i="6"/>
  <c r="O18" i="6"/>
  <c r="O20" i="6"/>
  <c r="M18" i="6"/>
  <c r="M20" i="6"/>
  <c r="E18" i="6"/>
  <c r="C18" i="6"/>
  <c r="F11" i="6"/>
  <c r="Z17" i="6"/>
  <c r="X17" i="6"/>
  <c r="V17" i="6"/>
  <c r="T17" i="6"/>
  <c r="Q17" i="6"/>
  <c r="R17" i="6"/>
  <c r="P17" i="6"/>
  <c r="N17" i="6"/>
  <c r="D17" i="6"/>
  <c r="Z16" i="6"/>
  <c r="X16" i="6"/>
  <c r="V16" i="6"/>
  <c r="T16" i="6"/>
  <c r="Q16" i="6"/>
  <c r="R16" i="6"/>
  <c r="P16" i="6"/>
  <c r="N16" i="6"/>
  <c r="D16" i="6"/>
  <c r="Z15" i="6"/>
  <c r="X15" i="6"/>
  <c r="V15" i="6"/>
  <c r="T15" i="6"/>
  <c r="Q15" i="6"/>
  <c r="R15" i="6"/>
  <c r="P15" i="6"/>
  <c r="P18" i="6"/>
  <c r="P20" i="6"/>
  <c r="N15" i="6"/>
  <c r="D15" i="6"/>
  <c r="Z14" i="6"/>
  <c r="X14" i="6"/>
  <c r="V14" i="6"/>
  <c r="T14" i="6"/>
  <c r="Q14" i="6"/>
  <c r="R14" i="6"/>
  <c r="P14" i="6"/>
  <c r="N14" i="6"/>
  <c r="D14" i="6"/>
  <c r="Z13" i="6"/>
  <c r="X13" i="6"/>
  <c r="V13" i="6"/>
  <c r="T13" i="6"/>
  <c r="Q13" i="6"/>
  <c r="R13" i="6"/>
  <c r="P13" i="6"/>
  <c r="N13" i="6"/>
  <c r="D13" i="6"/>
  <c r="Z12" i="6"/>
  <c r="X12" i="6"/>
  <c r="V12" i="6"/>
  <c r="T12" i="6"/>
  <c r="Q12" i="6"/>
  <c r="R12" i="6"/>
  <c r="P12" i="6"/>
  <c r="N12" i="6"/>
  <c r="D12" i="6"/>
  <c r="Z11" i="6"/>
  <c r="X11" i="6"/>
  <c r="X18" i="6"/>
  <c r="X20" i="6"/>
  <c r="V11" i="6"/>
  <c r="T11" i="6"/>
  <c r="Q11" i="6"/>
  <c r="R11" i="6"/>
  <c r="P11" i="6"/>
  <c r="N11" i="6"/>
  <c r="D11" i="6"/>
  <c r="Z10" i="6"/>
  <c r="Z18" i="6"/>
  <c r="Z20" i="6"/>
  <c r="V10" i="6"/>
  <c r="T10" i="6"/>
  <c r="Q10" i="6"/>
  <c r="R10" i="6"/>
  <c r="P10" i="6"/>
  <c r="N10" i="6"/>
  <c r="D10" i="6"/>
  <c r="Z9" i="6"/>
  <c r="V9" i="6"/>
  <c r="V18" i="6"/>
  <c r="V20" i="6"/>
  <c r="T9" i="6"/>
  <c r="T18" i="6"/>
  <c r="T20" i="6"/>
  <c r="Q9" i="6"/>
  <c r="P9" i="6"/>
  <c r="N9" i="6"/>
  <c r="N18" i="6"/>
  <c r="N20" i="6"/>
  <c r="K18" i="6"/>
  <c r="D9" i="6"/>
  <c r="D18" i="6"/>
  <c r="K19" i="4"/>
  <c r="O12" i="4"/>
  <c r="O13" i="4"/>
  <c r="O14" i="4"/>
  <c r="AS14" i="4"/>
  <c r="O16" i="4"/>
  <c r="O17" i="4"/>
  <c r="O18" i="4"/>
  <c r="AD20" i="4"/>
  <c r="AB20" i="4"/>
  <c r="Z20" i="4"/>
  <c r="X20" i="4"/>
  <c r="V20" i="4"/>
  <c r="T20" i="4"/>
  <c r="R20" i="4"/>
  <c r="AE20" i="4"/>
  <c r="H20" i="4"/>
  <c r="D20" i="4"/>
  <c r="AC19" i="4"/>
  <c r="AC21" i="4"/>
  <c r="AA19" i="4"/>
  <c r="AA21" i="4"/>
  <c r="Y19" i="4"/>
  <c r="Y21" i="4"/>
  <c r="W19" i="4"/>
  <c r="W21" i="4"/>
  <c r="S19" i="4"/>
  <c r="S21" i="4"/>
  <c r="Q19" i="4"/>
  <c r="Q21" i="4"/>
  <c r="E19" i="4"/>
  <c r="C19" i="4"/>
  <c r="C21" i="4"/>
  <c r="AD18" i="4"/>
  <c r="AB18" i="4"/>
  <c r="Z18" i="4"/>
  <c r="X18" i="4"/>
  <c r="U18" i="4"/>
  <c r="V18" i="4"/>
  <c r="T18" i="4"/>
  <c r="R18" i="4"/>
  <c r="F18" i="4"/>
  <c r="D18" i="4"/>
  <c r="AD17" i="4"/>
  <c r="AB17" i="4"/>
  <c r="Z17" i="4"/>
  <c r="X17" i="4"/>
  <c r="U17" i="4"/>
  <c r="V17" i="4"/>
  <c r="T17" i="4"/>
  <c r="R17" i="4"/>
  <c r="D17" i="4"/>
  <c r="AD16" i="4"/>
  <c r="AB16" i="4"/>
  <c r="Z16" i="4"/>
  <c r="X16" i="4"/>
  <c r="U16" i="4"/>
  <c r="V16" i="4"/>
  <c r="T16" i="4"/>
  <c r="R16" i="4"/>
  <c r="K23" i="4"/>
  <c r="D16" i="4"/>
  <c r="AD15" i="4"/>
  <c r="AB15" i="4"/>
  <c r="Z15" i="4"/>
  <c r="X15" i="4"/>
  <c r="U15" i="4"/>
  <c r="V15" i="4"/>
  <c r="T15" i="4"/>
  <c r="T19" i="4"/>
  <c r="T21" i="4"/>
  <c r="R15" i="4"/>
  <c r="F15" i="4"/>
  <c r="J15" i="4"/>
  <c r="D15" i="4"/>
  <c r="AD14" i="4"/>
  <c r="AB14" i="4"/>
  <c r="Z14" i="4"/>
  <c r="X14" i="4"/>
  <c r="U14" i="4"/>
  <c r="V14" i="4"/>
  <c r="T14" i="4"/>
  <c r="R14" i="4"/>
  <c r="F14" i="4"/>
  <c r="J14" i="4"/>
  <c r="D14" i="4"/>
  <c r="AD13" i="4"/>
  <c r="AB13" i="4"/>
  <c r="Z13" i="4"/>
  <c r="X13" i="4"/>
  <c r="U13" i="4"/>
  <c r="V13" i="4"/>
  <c r="T13" i="4"/>
  <c r="R13" i="4"/>
  <c r="F13" i="4"/>
  <c r="J13" i="4"/>
  <c r="D13" i="4"/>
  <c r="AD12" i="4"/>
  <c r="AB12" i="4"/>
  <c r="Z12" i="4"/>
  <c r="X12" i="4"/>
  <c r="U12" i="4"/>
  <c r="V12" i="4"/>
  <c r="T12" i="4"/>
  <c r="R12" i="4"/>
  <c r="F12" i="4"/>
  <c r="J12" i="4"/>
  <c r="AS12" i="4"/>
  <c r="D12" i="4"/>
  <c r="AD11" i="4"/>
  <c r="Z11" i="4"/>
  <c r="X11" i="4"/>
  <c r="U11" i="4"/>
  <c r="V11" i="4"/>
  <c r="T11" i="4"/>
  <c r="R11" i="4"/>
  <c r="F11" i="4"/>
  <c r="J11" i="4"/>
  <c r="D11" i="4"/>
  <c r="AD10" i="4"/>
  <c r="AD19" i="4"/>
  <c r="AD21" i="4"/>
  <c r="Z10" i="4"/>
  <c r="X10" i="4"/>
  <c r="X19" i="4"/>
  <c r="X21" i="4"/>
  <c r="U10" i="4"/>
  <c r="U19" i="4"/>
  <c r="U21" i="4"/>
  <c r="T10" i="4"/>
  <c r="R10" i="4"/>
  <c r="F10" i="4"/>
  <c r="D10" i="4"/>
  <c r="D19" i="4"/>
  <c r="D21" i="4"/>
  <c r="N19" i="3"/>
  <c r="AE20" i="3"/>
  <c r="AC20" i="3"/>
  <c r="AA20" i="3"/>
  <c r="Y20" i="3"/>
  <c r="W20" i="3"/>
  <c r="U20" i="3"/>
  <c r="S20" i="3"/>
  <c r="AF20" i="3"/>
  <c r="H20" i="3"/>
  <c r="D20" i="3"/>
  <c r="AD19" i="3"/>
  <c r="AD21" i="3"/>
  <c r="AB19" i="3"/>
  <c r="AB21" i="3"/>
  <c r="Z19" i="3"/>
  <c r="Z21" i="3"/>
  <c r="X19" i="3"/>
  <c r="X21" i="3"/>
  <c r="T19" i="3"/>
  <c r="T21" i="3"/>
  <c r="R19" i="3"/>
  <c r="R21" i="3"/>
  <c r="E19" i="3"/>
  <c r="C19" i="3"/>
  <c r="C21" i="3"/>
  <c r="AE18" i="3"/>
  <c r="AC18" i="3"/>
  <c r="AA18" i="3"/>
  <c r="Y18" i="3"/>
  <c r="V18" i="3"/>
  <c r="W18" i="3"/>
  <c r="U18" i="3"/>
  <c r="S18" i="3"/>
  <c r="D18" i="3"/>
  <c r="AE17" i="3"/>
  <c r="AC17" i="3"/>
  <c r="AA17" i="3"/>
  <c r="Y17" i="3"/>
  <c r="V17" i="3"/>
  <c r="W17" i="3"/>
  <c r="U17" i="3"/>
  <c r="S17" i="3"/>
  <c r="D17" i="3"/>
  <c r="AE16" i="3"/>
  <c r="AC16" i="3"/>
  <c r="AA16" i="3"/>
  <c r="Y16" i="3"/>
  <c r="V16" i="3"/>
  <c r="W16" i="3"/>
  <c r="U16" i="3"/>
  <c r="S16" i="3"/>
  <c r="D16" i="3"/>
  <c r="AE15" i="3"/>
  <c r="AC15" i="3"/>
  <c r="AA15" i="3"/>
  <c r="Y15" i="3"/>
  <c r="V15" i="3"/>
  <c r="W15" i="3"/>
  <c r="U15" i="3"/>
  <c r="S15" i="3"/>
  <c r="D15" i="3"/>
  <c r="AE14" i="3"/>
  <c r="AC14" i="3"/>
  <c r="AA14" i="3"/>
  <c r="Y14" i="3"/>
  <c r="V14" i="3"/>
  <c r="W14" i="3"/>
  <c r="U14" i="3"/>
  <c r="S14" i="3"/>
  <c r="D14" i="3"/>
  <c r="AE13" i="3"/>
  <c r="AC13" i="3"/>
  <c r="AA13" i="3"/>
  <c r="Y13" i="3"/>
  <c r="V13" i="3"/>
  <c r="W13" i="3"/>
  <c r="U13" i="3"/>
  <c r="S13" i="3"/>
  <c r="D13" i="3"/>
  <c r="AE12" i="3"/>
  <c r="AC12" i="3"/>
  <c r="AA12" i="3"/>
  <c r="Y12" i="3"/>
  <c r="V12" i="3"/>
  <c r="W12" i="3"/>
  <c r="U12" i="3"/>
  <c r="S12" i="3"/>
  <c r="S19" i="3"/>
  <c r="F12" i="3"/>
  <c r="G12" i="3"/>
  <c r="H12" i="3"/>
  <c r="D12" i="3"/>
  <c r="AE11" i="3"/>
  <c r="AA11" i="3"/>
  <c r="Y11" i="3"/>
  <c r="V11" i="3"/>
  <c r="W11" i="3"/>
  <c r="U11" i="3"/>
  <c r="S11" i="3"/>
  <c r="F11" i="3"/>
  <c r="D11" i="3"/>
  <c r="AE10" i="3"/>
  <c r="AE19" i="3"/>
  <c r="AE21" i="3"/>
  <c r="AA10" i="3"/>
  <c r="AA19" i="3"/>
  <c r="AA21" i="3"/>
  <c r="Y10" i="3"/>
  <c r="V10" i="3"/>
  <c r="V19" i="3"/>
  <c r="V21" i="3"/>
  <c r="U10" i="3"/>
  <c r="U19" i="3"/>
  <c r="U21" i="3"/>
  <c r="S10" i="3"/>
  <c r="S21" i="3"/>
  <c r="F10" i="3"/>
  <c r="G10" i="3"/>
  <c r="D10" i="3"/>
  <c r="D19" i="3"/>
  <c r="F22" i="3"/>
  <c r="G16" i="2"/>
  <c r="F17" i="2"/>
  <c r="F15" i="2"/>
  <c r="D9" i="2"/>
  <c r="H9" i="2"/>
  <c r="I9" i="2"/>
  <c r="D10" i="2"/>
  <c r="H10" i="2"/>
  <c r="D11" i="2"/>
  <c r="H11" i="2"/>
  <c r="I11" i="2"/>
  <c r="D12" i="2"/>
  <c r="H12" i="2"/>
  <c r="I12" i="2"/>
  <c r="D13" i="2"/>
  <c r="H13" i="2"/>
  <c r="I13" i="2"/>
  <c r="D14" i="2"/>
  <c r="H14" i="2"/>
  <c r="I14" i="2"/>
  <c r="AB14" i="2"/>
  <c r="D15" i="2"/>
  <c r="H15" i="2"/>
  <c r="I15" i="2"/>
  <c r="D16" i="2"/>
  <c r="H16" i="2"/>
  <c r="I16" i="2"/>
  <c r="D17" i="2"/>
  <c r="H17" i="2"/>
  <c r="I17" i="2"/>
  <c r="E18" i="2"/>
  <c r="C18" i="2"/>
  <c r="I19" i="2"/>
  <c r="M9" i="2"/>
  <c r="M10" i="2"/>
  <c r="M11" i="2"/>
  <c r="M12" i="2"/>
  <c r="M13" i="2"/>
  <c r="M14" i="2"/>
  <c r="M15" i="2"/>
  <c r="M16" i="2"/>
  <c r="M17" i="2"/>
  <c r="M18" i="2"/>
  <c r="M20" i="2"/>
  <c r="M19" i="2"/>
  <c r="O9" i="2"/>
  <c r="O10" i="2"/>
  <c r="O11" i="2"/>
  <c r="O12" i="2"/>
  <c r="O13" i="2"/>
  <c r="O14" i="2"/>
  <c r="O15" i="2"/>
  <c r="O16" i="2"/>
  <c r="O17" i="2"/>
  <c r="O19" i="2"/>
  <c r="Q9" i="2"/>
  <c r="Q10" i="2"/>
  <c r="Q11" i="2"/>
  <c r="Q12" i="2"/>
  <c r="Q13" i="2"/>
  <c r="Q14" i="2"/>
  <c r="Q15" i="2"/>
  <c r="Q16" i="2"/>
  <c r="Q17" i="2"/>
  <c r="Q19" i="2"/>
  <c r="R9" i="2"/>
  <c r="S9" i="2"/>
  <c r="R10" i="2"/>
  <c r="S10" i="2"/>
  <c r="R11" i="2"/>
  <c r="S11" i="2"/>
  <c r="R12" i="2"/>
  <c r="S12" i="2"/>
  <c r="R13" i="2"/>
  <c r="S13" i="2"/>
  <c r="R14" i="2"/>
  <c r="S14" i="2"/>
  <c r="R15" i="2"/>
  <c r="S15" i="2"/>
  <c r="R16" i="2"/>
  <c r="S16" i="2"/>
  <c r="R17" i="2"/>
  <c r="S17" i="2"/>
  <c r="S19" i="2"/>
  <c r="W9" i="2"/>
  <c r="W10" i="2"/>
  <c r="W11" i="2"/>
  <c r="W12" i="2"/>
  <c r="W13" i="2"/>
  <c r="W14" i="2"/>
  <c r="W15" i="2"/>
  <c r="W16" i="2"/>
  <c r="W17" i="2"/>
  <c r="W19" i="2"/>
  <c r="Y11" i="2"/>
  <c r="Y18" i="2"/>
  <c r="Y20" i="2"/>
  <c r="Y12" i="2"/>
  <c r="Y13" i="2"/>
  <c r="Y14" i="2"/>
  <c r="Y15" i="2"/>
  <c r="Y16" i="2"/>
  <c r="Y17" i="2"/>
  <c r="Y19" i="2"/>
  <c r="AB19" i="2"/>
  <c r="AA9" i="2"/>
  <c r="AA10" i="2"/>
  <c r="AA11" i="2"/>
  <c r="AA18" i="2"/>
  <c r="AA20" i="2"/>
  <c r="AA12" i="2"/>
  <c r="AA13" i="2"/>
  <c r="AA14" i="2"/>
  <c r="AA15" i="2"/>
  <c r="AA16" i="2"/>
  <c r="AA17" i="2"/>
  <c r="AA19" i="2"/>
  <c r="U9" i="2"/>
  <c r="U10" i="2"/>
  <c r="U11" i="2"/>
  <c r="U18" i="2"/>
  <c r="U20" i="2"/>
  <c r="U12" i="2"/>
  <c r="U13" i="2"/>
  <c r="U14" i="2"/>
  <c r="U15" i="2"/>
  <c r="U16" i="2"/>
  <c r="U17" i="2"/>
  <c r="U19" i="2"/>
  <c r="Z18" i="2"/>
  <c r="Z20" i="2"/>
  <c r="X18" i="2"/>
  <c r="X20" i="2"/>
  <c r="V18" i="2"/>
  <c r="V20" i="2"/>
  <c r="T18" i="2"/>
  <c r="T20" i="2"/>
  <c r="P18" i="2"/>
  <c r="P20" i="2"/>
  <c r="N18" i="2"/>
  <c r="N20" i="2"/>
  <c r="L18" i="2"/>
  <c r="L20" i="2"/>
  <c r="D19" i="2"/>
  <c r="C20" i="2"/>
  <c r="I10" i="3"/>
  <c r="I12" i="3"/>
  <c r="I11" i="3"/>
  <c r="J11" i="3"/>
  <c r="D21" i="3"/>
  <c r="W10" i="3"/>
  <c r="W19" i="3"/>
  <c r="W21" i="3"/>
  <c r="AB9" i="2"/>
  <c r="F22" i="4"/>
  <c r="G10" i="4"/>
  <c r="H10" i="4"/>
  <c r="I10" i="4"/>
  <c r="J10" i="4"/>
  <c r="G11" i="4"/>
  <c r="H11" i="4"/>
  <c r="I11" i="4"/>
  <c r="G12" i="4"/>
  <c r="H12" i="4"/>
  <c r="I12" i="4"/>
  <c r="P12" i="4"/>
  <c r="AE12" i="4"/>
  <c r="G13" i="4"/>
  <c r="H13" i="4"/>
  <c r="I13" i="4"/>
  <c r="P13" i="4"/>
  <c r="AE13" i="4"/>
  <c r="G14" i="4"/>
  <c r="H14" i="4"/>
  <c r="I14" i="4"/>
  <c r="P14" i="4"/>
  <c r="AE14" i="4"/>
  <c r="G15" i="4"/>
  <c r="H15" i="4"/>
  <c r="I15" i="4"/>
  <c r="G18" i="4"/>
  <c r="H18" i="4"/>
  <c r="I24" i="4"/>
  <c r="F21" i="6"/>
  <c r="D20" i="6"/>
  <c r="R9" i="6"/>
  <c r="R18" i="6"/>
  <c r="R20" i="6"/>
  <c r="G11" i="6"/>
  <c r="H11" i="6"/>
  <c r="O10" i="4"/>
  <c r="AS10" i="4"/>
  <c r="H10" i="3"/>
  <c r="AH19" i="3"/>
  <c r="AG19" i="4"/>
  <c r="AC18" i="6"/>
  <c r="AK14" i="3"/>
  <c r="AJ14" i="4" s="1"/>
  <c r="AF13" i="6" s="1"/>
  <c r="AK12" i="3"/>
  <c r="AJ12" i="4" s="1"/>
  <c r="AF11" i="6" s="1"/>
  <c r="P15" i="3"/>
  <c r="P18" i="3"/>
  <c r="M16" i="3"/>
  <c r="M17" i="3"/>
  <c r="O11" i="3"/>
  <c r="O19" i="3"/>
  <c r="O12" i="3"/>
  <c r="O13" i="3"/>
  <c r="O14" i="3"/>
  <c r="K10" i="3"/>
  <c r="K12" i="3"/>
  <c r="K19" i="3"/>
  <c r="P12" i="3"/>
  <c r="L11" i="3"/>
  <c r="L19" i="3"/>
  <c r="L13" i="3"/>
  <c r="P13" i="3"/>
  <c r="L14" i="3"/>
  <c r="P14" i="3"/>
  <c r="L16" i="3"/>
  <c r="P16" i="3"/>
  <c r="L17" i="3"/>
  <c r="P17" i="3"/>
  <c r="M19" i="3"/>
  <c r="Q12" i="3"/>
  <c r="AF12" i="3"/>
  <c r="P10" i="3"/>
  <c r="AK19" i="3"/>
  <c r="AJ19" i="4" s="1"/>
  <c r="AF18" i="6" s="1"/>
  <c r="AE18" i="1"/>
  <c r="AM19" i="3"/>
  <c r="AL19" i="4"/>
  <c r="AH18" i="6" s="1"/>
  <c r="I10" i="2"/>
  <c r="H18" i="2"/>
  <c r="H20" i="2"/>
  <c r="R18" i="2"/>
  <c r="R20" i="2"/>
  <c r="AB13" i="2"/>
  <c r="R19" i="4"/>
  <c r="R21" i="4"/>
  <c r="P11" i="3"/>
  <c r="Q10" i="3"/>
  <c r="AF10" i="3"/>
  <c r="W18" i="2"/>
  <c r="W20" i="2"/>
  <c r="AB16" i="2"/>
  <c r="J11" i="6"/>
  <c r="AO11" i="6"/>
  <c r="I11" i="6"/>
  <c r="L11" i="6"/>
  <c r="AA11" i="6"/>
  <c r="P10" i="4"/>
  <c r="Q18" i="2"/>
  <c r="Q20" i="2"/>
  <c r="O18" i="2"/>
  <c r="O20" i="2"/>
  <c r="AB15" i="2"/>
  <c r="AB12" i="2"/>
  <c r="S18" i="2"/>
  <c r="S20" i="2"/>
  <c r="AB17" i="2"/>
  <c r="AB11" i="2"/>
  <c r="D18" i="2"/>
  <c r="D20" i="2"/>
  <c r="G11" i="3"/>
  <c r="Q18" i="6"/>
  <c r="Q20" i="6"/>
  <c r="AC19" i="3"/>
  <c r="AC21" i="3"/>
  <c r="AB19" i="4"/>
  <c r="AB21" i="4"/>
  <c r="V10" i="4"/>
  <c r="V19" i="4"/>
  <c r="V21" i="4"/>
  <c r="Y19" i="3"/>
  <c r="Y21" i="3"/>
  <c r="Z19" i="4"/>
  <c r="Z21" i="4"/>
  <c r="AS13" i="4"/>
  <c r="L19" i="4"/>
  <c r="L23" i="4"/>
  <c r="I18" i="4"/>
  <c r="P18" i="4"/>
  <c r="AE18" i="4"/>
  <c r="J18" i="4"/>
  <c r="AS18" i="4"/>
  <c r="F17" i="6"/>
  <c r="F16" i="6"/>
  <c r="F15" i="6"/>
  <c r="F14" i="6"/>
  <c r="F13" i="6"/>
  <c r="F12" i="6"/>
  <c r="F10" i="6"/>
  <c r="F9" i="6"/>
  <c r="C20" i="6"/>
  <c r="J12" i="3"/>
  <c r="AT12" i="3"/>
  <c r="J10" i="3"/>
  <c r="AT10" i="3"/>
  <c r="F13" i="3"/>
  <c r="F14" i="3"/>
  <c r="F15" i="3"/>
  <c r="F16" i="3"/>
  <c r="F17" i="3"/>
  <c r="F18" i="3"/>
  <c r="F16" i="4"/>
  <c r="F19" i="4"/>
  <c r="F17" i="4"/>
  <c r="M11" i="4"/>
  <c r="N15" i="4"/>
  <c r="AK21" i="3"/>
  <c r="AJ21" i="4" s="1"/>
  <c r="AG18" i="1"/>
  <c r="AO19" i="3"/>
  <c r="AN19" i="4"/>
  <c r="AJ18" i="6" s="1"/>
  <c r="AK20" i="3"/>
  <c r="AJ20" i="4" s="1"/>
  <c r="AU20" i="4" s="1"/>
  <c r="AR19" i="3"/>
  <c r="AQ19" i="4" s="1"/>
  <c r="AM18" i="6" s="1"/>
  <c r="I14" i="3"/>
  <c r="Q14" i="3"/>
  <c r="AF14" i="3"/>
  <c r="G14" i="3"/>
  <c r="H14" i="3"/>
  <c r="J14" i="3"/>
  <c r="AT14" i="3"/>
  <c r="J14" i="6"/>
  <c r="AO14" i="6"/>
  <c r="G14" i="6"/>
  <c r="H14" i="6"/>
  <c r="I14" i="6"/>
  <c r="L14" i="6"/>
  <c r="AA14" i="6"/>
  <c r="AB10" i="2"/>
  <c r="I18" i="2"/>
  <c r="M19" i="4"/>
  <c r="M23" i="4"/>
  <c r="O11" i="4"/>
  <c r="G18" i="3"/>
  <c r="H18" i="3"/>
  <c r="I18" i="3"/>
  <c r="Q18" i="3"/>
  <c r="AF18" i="3"/>
  <c r="J18" i="3"/>
  <c r="AT18" i="3"/>
  <c r="F18" i="6"/>
  <c r="J9" i="6"/>
  <c r="G9" i="6"/>
  <c r="I9" i="6"/>
  <c r="I17" i="3"/>
  <c r="Q17" i="3"/>
  <c r="AF17" i="3"/>
  <c r="G17" i="3"/>
  <c r="H17" i="3"/>
  <c r="J17" i="3"/>
  <c r="AT17" i="3"/>
  <c r="J13" i="3"/>
  <c r="AT13" i="3"/>
  <c r="G13" i="3"/>
  <c r="H13" i="3"/>
  <c r="I13" i="3"/>
  <c r="J10" i="6"/>
  <c r="AO10" i="6"/>
  <c r="G10" i="6"/>
  <c r="H10" i="6"/>
  <c r="I10" i="6"/>
  <c r="L10" i="6"/>
  <c r="AA10" i="6"/>
  <c r="J15" i="6"/>
  <c r="AO15" i="6"/>
  <c r="I15" i="6"/>
  <c r="L15" i="6"/>
  <c r="AA15" i="6"/>
  <c r="G15" i="6"/>
  <c r="H15" i="6"/>
  <c r="F19" i="3"/>
  <c r="J12" i="6"/>
  <c r="AO12" i="6"/>
  <c r="G12" i="6"/>
  <c r="H12" i="6"/>
  <c r="I12" i="6"/>
  <c r="L12" i="6"/>
  <c r="AA12" i="6"/>
  <c r="J16" i="6"/>
  <c r="AO16" i="6"/>
  <c r="G16" i="6"/>
  <c r="H16" i="6"/>
  <c r="I16" i="6"/>
  <c r="L16" i="6"/>
  <c r="AA16" i="6"/>
  <c r="H11" i="3"/>
  <c r="AE10" i="4"/>
  <c r="P19" i="3"/>
  <c r="AT11" i="3"/>
  <c r="Q11" i="3"/>
  <c r="AF11" i="3"/>
  <c r="J17" i="4"/>
  <c r="AS17" i="4"/>
  <c r="G17" i="4"/>
  <c r="H17" i="4"/>
  <c r="I17" i="4"/>
  <c r="P17" i="4"/>
  <c r="AE17" i="4"/>
  <c r="J16" i="3"/>
  <c r="AT16" i="3"/>
  <c r="G16" i="3"/>
  <c r="H16" i="3"/>
  <c r="I16" i="3"/>
  <c r="Q16" i="3"/>
  <c r="AF16" i="3"/>
  <c r="N19" i="4"/>
  <c r="O15" i="4"/>
  <c r="N23" i="4"/>
  <c r="J23" i="4"/>
  <c r="G16" i="4"/>
  <c r="J16" i="4"/>
  <c r="I16" i="4"/>
  <c r="G15" i="3"/>
  <c r="H15" i="3"/>
  <c r="I15" i="3"/>
  <c r="Q15" i="3"/>
  <c r="AF15" i="3"/>
  <c r="J15" i="3"/>
  <c r="AT15" i="3"/>
  <c r="J13" i="6"/>
  <c r="AO13" i="6"/>
  <c r="I13" i="6"/>
  <c r="L13" i="6"/>
  <c r="AA13" i="6"/>
  <c r="G13" i="6"/>
  <c r="H13" i="6"/>
  <c r="J17" i="6"/>
  <c r="AO17" i="6"/>
  <c r="I17" i="6"/>
  <c r="L17" i="6"/>
  <c r="AA17" i="6"/>
  <c r="G17" i="6"/>
  <c r="H17" i="6"/>
  <c r="AS16" i="4"/>
  <c r="J22" i="4"/>
  <c r="J19" i="4"/>
  <c r="G19" i="3"/>
  <c r="G21" i="3"/>
  <c r="G19" i="4"/>
  <c r="G21" i="4"/>
  <c r="H16" i="4"/>
  <c r="H19" i="4"/>
  <c r="H21" i="4"/>
  <c r="AE21" i="4"/>
  <c r="J19" i="3"/>
  <c r="H19" i="3"/>
  <c r="H21" i="3"/>
  <c r="AF21" i="3"/>
  <c r="Q13" i="3"/>
  <c r="AF13" i="3"/>
  <c r="AF22" i="3"/>
  <c r="I19" i="3"/>
  <c r="Q19" i="3"/>
  <c r="AF19" i="3"/>
  <c r="J18" i="6"/>
  <c r="AO18" i="6"/>
  <c r="AO9" i="6"/>
  <c r="I20" i="2"/>
  <c r="AB20" i="2"/>
  <c r="AB18" i="2"/>
  <c r="AS11" i="4"/>
  <c r="P11" i="4"/>
  <c r="AE11" i="4"/>
  <c r="O19" i="4"/>
  <c r="AS19" i="4"/>
  <c r="P16" i="4"/>
  <c r="AE16" i="4"/>
  <c r="I19" i="4"/>
  <c r="L9" i="6"/>
  <c r="AA9" i="6"/>
  <c r="AA21" i="6"/>
  <c r="I18" i="6"/>
  <c r="L18" i="6"/>
  <c r="AA18" i="6"/>
  <c r="AT19" i="3"/>
  <c r="AS15" i="4"/>
  <c r="P15" i="4"/>
  <c r="AE15" i="4"/>
  <c r="AE22" i="4"/>
  <c r="G18" i="6"/>
  <c r="G20" i="6"/>
  <c r="H9" i="6"/>
  <c r="H18" i="6"/>
  <c r="H20" i="6"/>
  <c r="AA20" i="6"/>
  <c r="P19" i="4"/>
  <c r="AE19" i="4"/>
  <c r="AS21" i="3"/>
  <c r="AR21" i="4"/>
  <c r="AN20" i="6" s="1"/>
  <c r="AS17" i="3"/>
  <c r="AR17" i="4" s="1"/>
  <c r="AN16" i="6" s="1"/>
  <c r="AS16" i="3"/>
  <c r="AR16" i="4" s="1"/>
  <c r="AN15" i="6" s="1"/>
  <c r="AS15" i="3"/>
  <c r="AR15" i="4" s="1"/>
  <c r="AN14" i="6" s="1"/>
  <c r="AS14" i="3"/>
  <c r="AR14" i="4" s="1"/>
  <c r="AN13" i="6" s="1"/>
  <c r="AS18" i="3"/>
  <c r="AR18" i="4" s="1"/>
  <c r="AN17" i="6" s="1"/>
  <c r="AS13" i="3"/>
  <c r="AR13" i="4"/>
  <c r="AN12" i="6" s="1"/>
  <c r="AS12" i="3"/>
  <c r="AR12" i="4" s="1"/>
  <c r="AN11" i="6" s="1"/>
  <c r="AS11" i="3"/>
  <c r="AR11" i="4"/>
  <c r="AN10" i="6" s="1"/>
  <c r="AF19" i="6" l="1"/>
  <c r="AU19" i="4"/>
  <c r="AU21" i="4"/>
  <c r="AF20" i="6"/>
  <c r="W9" i="1"/>
  <c r="H18" i="1"/>
  <c r="W18" i="1" s="1"/>
  <c r="AC18" i="1" s="1"/>
  <c r="AM9" i="1" l="1"/>
  <c r="AS10" i="3" s="1"/>
  <c r="AR10" i="4" s="1"/>
  <c r="AN9" i="6" s="1"/>
  <c r="AC9" i="1"/>
  <c r="AE4" i="7" s="1"/>
  <c r="AE13" i="7" s="1"/>
  <c r="AM18" i="1"/>
  <c r="AS19" i="3" s="1"/>
  <c r="AR19" i="4" s="1"/>
  <c r="AN18" i="6" s="1"/>
  <c r="H19" i="1"/>
  <c r="W19" i="1" s="1"/>
  <c r="AM19" i="1" l="1"/>
  <c r="AS20" i="3" s="1"/>
  <c r="AR20" i="4" s="1"/>
  <c r="AN19" i="6" s="1"/>
  <c r="AC19" i="1"/>
</calcChain>
</file>

<file path=xl/sharedStrings.xml><?xml version="1.0" encoding="utf-8"?>
<sst xmlns="http://schemas.openxmlformats.org/spreadsheetml/2006/main" count="461" uniqueCount="159">
  <si>
    <t xml:space="preserve">                                    Приложение № 1</t>
  </si>
  <si>
    <t>разпределение на 100% от средствата по разходен стандарт</t>
  </si>
  <si>
    <t>100% от средствата</t>
  </si>
  <si>
    <t>Всичко средства по държавна  дейност 322</t>
  </si>
  <si>
    <t>№ по ред</t>
  </si>
  <si>
    <t>Училище</t>
  </si>
  <si>
    <t>основен компонент</t>
  </si>
  <si>
    <t>Всичко стандарт за общообразователни училища - 100%</t>
  </si>
  <si>
    <t xml:space="preserve">самостоятелна форма </t>
  </si>
  <si>
    <t>индивидуална</t>
  </si>
  <si>
    <t>МТБ</t>
  </si>
  <si>
    <t xml:space="preserve">стипендии </t>
  </si>
  <si>
    <t>хранене на деца от І до ІV клас</t>
  </si>
  <si>
    <t>целодневна организация от І доVІ клас и средищни</t>
  </si>
  <si>
    <t>брой ученици</t>
  </si>
  <si>
    <t>ЕГ"П.Яворов" - Силистра</t>
  </si>
  <si>
    <t>ПМГ"Св.Кл.Охридски"-Силистра</t>
  </si>
  <si>
    <t>СОУ"Н.Вапцаров"-Силистра</t>
  </si>
  <si>
    <t>ОУ"Отец Паисий" - Силистра</t>
  </si>
  <si>
    <t>ОУ"Св.св.Кирил и Методий"-Силистра</t>
  </si>
  <si>
    <t>ОУ"Иван Вазов"-Силистра</t>
  </si>
  <si>
    <t>ОУ"Св.св.Кирил и Методий"-с.Калипетрово</t>
  </si>
  <si>
    <t>ОУ"Св.Кл.Охридски"-с.Иширково</t>
  </si>
  <si>
    <t>ОУ"Св.св.Кирил и Методий"-с.Брадвари</t>
  </si>
  <si>
    <t>ВСИЧКО ЗА УЧИЛИЩА</t>
  </si>
  <si>
    <t>Резерв</t>
  </si>
  <si>
    <t>В С И Ч КО:</t>
  </si>
  <si>
    <t>Изготвил:</t>
  </si>
  <si>
    <t xml:space="preserve">        Началник:</t>
  </si>
  <si>
    <t xml:space="preserve">     / Т. Йвкова/</t>
  </si>
  <si>
    <t xml:space="preserve">    / Нели Иванова/</t>
  </si>
  <si>
    <t>стандарт "Неспециализирани училища, без профес. гимназии"</t>
  </si>
  <si>
    <t>доп. Компонет - 29 000 лв.</t>
  </si>
  <si>
    <t>РАЗЧЕТ НА НАТУРАЛНИ И СТОЙНОСТНИ ПОКАЗАТЕЛИ ПО СТАНДАРТИТЕ ЗА ДЕЛЕГИРАНИТЕ ОТ ДЪРЖАВАТА ДЕЙНОСТИ ЗА  ОБЩООБРАЗОВАТЕЛНИ УЧИЛИЩА ЗА ОБЩИНА СИЛИСТРА -  НАЧАЛЕН ПЛАН 2017 Г.</t>
  </si>
  <si>
    <t>Норматив за създаване на условия за приобщ. Обр.</t>
  </si>
  <si>
    <t>комбинирана форма</t>
  </si>
  <si>
    <t>малко училище до 100</t>
  </si>
  <si>
    <t>малко училище до 150</t>
  </si>
  <si>
    <t>разлика</t>
  </si>
  <si>
    <t>Допълнителен компонент</t>
  </si>
  <si>
    <t xml:space="preserve">Общо </t>
  </si>
  <si>
    <t>Всичко</t>
  </si>
  <si>
    <t xml:space="preserve">  99% от осн комп</t>
  </si>
  <si>
    <t xml:space="preserve">   </t>
  </si>
  <si>
    <t>газ 0,25</t>
  </si>
  <si>
    <t>без гас 0,75</t>
  </si>
  <si>
    <t>2,7732 х 15,26</t>
  </si>
  <si>
    <t>1,3322 х 15,26</t>
  </si>
  <si>
    <t>0,8 х 15,26</t>
  </si>
  <si>
    <t>0.7  х 15,26</t>
  </si>
  <si>
    <t>5,3165x9,16</t>
  </si>
  <si>
    <t>1 x 9,16</t>
  </si>
  <si>
    <t>0,5 x 9,16</t>
  </si>
  <si>
    <t>1,46906 х6,10</t>
  </si>
  <si>
    <t>0,51077х6,10</t>
  </si>
  <si>
    <t xml:space="preserve"> 0.4% осн. Комп</t>
  </si>
  <si>
    <t>Допълнителен компонент   малко населено място</t>
  </si>
  <si>
    <t>Извън ОЦ</t>
  </si>
  <si>
    <t>Всичко средства по държавна  дейност 338</t>
  </si>
  <si>
    <t>допълващ стандарт за поддръжка на автобуси</t>
  </si>
  <si>
    <t>над 30 м</t>
  </si>
  <si>
    <t>11÷15 м</t>
  </si>
  <si>
    <t xml:space="preserve"> 26÷29 м</t>
  </si>
  <si>
    <t>бр. авт</t>
  </si>
  <si>
    <t>Всичко средства по държавна  дейност 389</t>
  </si>
  <si>
    <t>до 150 уч  (0,5)</t>
  </si>
  <si>
    <t>от 150 до 350 уч(0,10)</t>
  </si>
  <si>
    <t>над 350 (0,4)</t>
  </si>
  <si>
    <t>до 150 (0,2579)</t>
  </si>
  <si>
    <t>150÷350 (0,1381)</t>
  </si>
  <si>
    <t>350÷550 (0,3339)</t>
  </si>
  <si>
    <t>над 550 (0,2699)</t>
  </si>
  <si>
    <t>бр. деца</t>
  </si>
  <si>
    <t>Всичко за училището</t>
  </si>
  <si>
    <t>подготв. полудневна гр.в уч. или ДГ дейност 318</t>
  </si>
  <si>
    <t>СУ "Н.Вапцаров"-Силистра</t>
  </si>
  <si>
    <t>ОУ "Отец Паисий" - Силистра</t>
  </si>
  <si>
    <t>ЕГ "П.Яворов" - Силистра</t>
  </si>
  <si>
    <t>ПМГ "Св.Кл.Охридски"-Силистра</t>
  </si>
  <si>
    <t>ОУ "Св.св.Кирил и Методий"-Силистра</t>
  </si>
  <si>
    <t>ОУ "Иван Вазов"-Силистра</t>
  </si>
  <si>
    <t>ОУ "Св.св.Кирил и Методий"-с.Калипетрово</t>
  </si>
  <si>
    <t>ОУ "Св.Кл.Охридски"-с.Иширково</t>
  </si>
  <si>
    <t>ОУ "Св.св.Кирил и Методий"-с.Брадвари</t>
  </si>
  <si>
    <t>РАЗЧЕТ НА НАТУРАЛНИ И СТОЙНОСТНИ ПОКАЗАТЕЛИ ПО СТАНДАРТИТЕ ЗА ДЕЛЕГИРАНИТЕ ОТ ДЪРЖАВАТА ДЕЙНОСТИ ЗА  НЕСПЕЦИАЛИЗИРАНИ УЧИЛИЩА, БЕЗ ПРОФЕСИОНАЛНИ ГИМНАЗИИ ЗА ОБЩИНА СИЛИСТРА -  НАЧАЛЕН ПЛАН 2017 Г.</t>
  </si>
  <si>
    <t>Всичко стандарт "Неспециализирани училища, без профес. гимназии"</t>
  </si>
  <si>
    <t>Всичко стандарт "Неспециализирани училища,без проф. гимназии"</t>
  </si>
  <si>
    <t>За Кмет на Община съгл. заповед №382/21.02.2017 г.</t>
  </si>
  <si>
    <t xml:space="preserve">        Денка Михайлова  /п/</t>
  </si>
  <si>
    <t>Изготвил: Елина Тончева     /п/</t>
  </si>
  <si>
    <t>ресурсно подпомагане</t>
  </si>
  <si>
    <t>брой</t>
  </si>
  <si>
    <t>целодневна организация от І до ІV клас и средищни</t>
  </si>
  <si>
    <t>институция</t>
  </si>
  <si>
    <t>норматив за ресурсно</t>
  </si>
  <si>
    <t>групи</t>
  </si>
  <si>
    <t>деца</t>
  </si>
  <si>
    <t>Колона1</t>
  </si>
  <si>
    <t>Колона2</t>
  </si>
  <si>
    <t>Колона3</t>
  </si>
  <si>
    <t>Колона4</t>
  </si>
  <si>
    <t>Колона5</t>
  </si>
  <si>
    <t>Колона6</t>
  </si>
  <si>
    <t>Колона10</t>
  </si>
  <si>
    <t>Колона11</t>
  </si>
  <si>
    <t>Колона15</t>
  </si>
  <si>
    <t>Колона16</t>
  </si>
  <si>
    <t>Колона18</t>
  </si>
  <si>
    <t>Колона19</t>
  </si>
  <si>
    <t>Колона20</t>
  </si>
  <si>
    <t>Колона21</t>
  </si>
  <si>
    <t>Колона22</t>
  </si>
  <si>
    <t>Колона23</t>
  </si>
  <si>
    <t>Колона24</t>
  </si>
  <si>
    <t>Колона25</t>
  </si>
  <si>
    <t>Общо</t>
  </si>
  <si>
    <t>Име на  училище</t>
  </si>
  <si>
    <t>Стандарт за паралелка</t>
  </si>
  <si>
    <t>стандарт за ученик</t>
  </si>
  <si>
    <t>самостоятелна</t>
  </si>
  <si>
    <t>комбинирана</t>
  </si>
  <si>
    <t>стипендии</t>
  </si>
  <si>
    <t>хранене</t>
  </si>
  <si>
    <t>целодневна организация</t>
  </si>
  <si>
    <t>ученици</t>
  </si>
  <si>
    <t>Общо 338</t>
  </si>
  <si>
    <t>322+338</t>
  </si>
  <si>
    <t>322 общо</t>
  </si>
  <si>
    <t>322+338 с 0.034</t>
  </si>
  <si>
    <t xml:space="preserve">разлики </t>
  </si>
  <si>
    <t>Колона7</t>
  </si>
  <si>
    <t>Колона8</t>
  </si>
  <si>
    <t>Колона9</t>
  </si>
  <si>
    <t>Колона12</t>
  </si>
  <si>
    <t>Колона13</t>
  </si>
  <si>
    <t>Колона14</t>
  </si>
  <si>
    <t>Колона17</t>
  </si>
  <si>
    <t>Колона26</t>
  </si>
  <si>
    <t>Колона27</t>
  </si>
  <si>
    <t>Колона28</t>
  </si>
  <si>
    <t>Колона29</t>
  </si>
  <si>
    <t>Колона30</t>
  </si>
  <si>
    <t>Колона31</t>
  </si>
  <si>
    <t>коригиране на отрицателни разлики</t>
  </si>
  <si>
    <t>Колона32</t>
  </si>
  <si>
    <t>комп. на (-) разлики</t>
  </si>
  <si>
    <t xml:space="preserve">Д-ст 322 </t>
  </si>
  <si>
    <t>Всичко 322</t>
  </si>
  <si>
    <t>места</t>
  </si>
  <si>
    <t>11-15</t>
  </si>
  <si>
    <t>26-29</t>
  </si>
  <si>
    <t>над 30</t>
  </si>
  <si>
    <t>допълващ стандарт за поддръжка на автобуси - 389 д-ст</t>
  </si>
  <si>
    <t>Дейност 322+338+389</t>
  </si>
  <si>
    <t>Колона33</t>
  </si>
  <si>
    <t>Извън общински център 0.2%</t>
  </si>
  <si>
    <t>Дейност 322 + 338 + 389</t>
  </si>
  <si>
    <r>
      <t xml:space="preserve">Приложение 1 към Заповед </t>
    </r>
    <r>
      <rPr>
        <sz val="10"/>
        <rFont val="Times New Roman"/>
        <family val="1"/>
        <charset val="204"/>
      </rPr>
      <t>№</t>
    </r>
    <r>
      <rPr>
        <sz val="10"/>
        <rFont val="Arial"/>
        <family val="2"/>
        <charset val="204"/>
      </rPr>
      <t>ЗК-344/23.02.2018 г.</t>
    </r>
  </si>
  <si>
    <t>Изготвил: Елина Тончева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</si>
</sst>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-* #,##0.00\ _л_в_-;\-* #,##0.00\ _л_в_-;_-* &quot;-&quot;??\ _л_в_-;_-@_-"/>
    <numFmt numFmtId="165" formatCode="0.0"/>
    <numFmt numFmtId="166" formatCode="0.0000%"/>
    <numFmt numFmtId="167" formatCode="0.0_ ;\-0.0\ "/>
    <numFmt numFmtId="168" formatCode="0.0000"/>
    <numFmt numFmtId="169" formatCode="#,##0.0"/>
    <numFmt numFmtId="170" formatCode="_-* #,##0\ _л_в_-;\-* #,##0\ _л_в_-;_-* &quot;-&quot;??\ _л_в_-;_-@_-"/>
  </numFmts>
  <fonts count="38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1"/>
      <name val="Arial"/>
      <family val="2"/>
      <charset val="204"/>
    </font>
    <font>
      <b/>
      <sz val="12"/>
      <name val="Arial"/>
      <family val="2"/>
      <charset val="204"/>
    </font>
    <font>
      <b/>
      <sz val="8"/>
      <name val="Arial"/>
      <family val="2"/>
      <charset val="204"/>
    </font>
    <font>
      <b/>
      <sz val="10"/>
      <name val="Arial"/>
      <family val="2"/>
      <charset val="204"/>
    </font>
    <font>
      <sz val="9"/>
      <name val="Arial"/>
      <family val="2"/>
      <charset val="204"/>
    </font>
    <font>
      <sz val="8"/>
      <color indexed="9"/>
      <name val="Arial"/>
      <family val="2"/>
      <charset val="204"/>
    </font>
    <font>
      <sz val="10"/>
      <name val="Arial"/>
      <family val="2"/>
      <charset val="204"/>
    </font>
    <font>
      <sz val="8"/>
      <color indexed="8"/>
      <name val="Arial"/>
      <family val="2"/>
      <charset val="204"/>
    </font>
    <font>
      <sz val="8"/>
      <color indexed="10"/>
      <name val="Arial"/>
      <family val="2"/>
      <charset val="204"/>
    </font>
    <font>
      <b/>
      <sz val="8"/>
      <color indexed="8"/>
      <name val="Arial"/>
      <family val="2"/>
      <charset val="204"/>
    </font>
    <font>
      <b/>
      <sz val="8"/>
      <color indexed="10"/>
      <name val="Arial"/>
      <family val="2"/>
      <charset val="204"/>
    </font>
    <font>
      <b/>
      <sz val="9"/>
      <name val="Arial"/>
      <family val="2"/>
      <charset val="204"/>
    </font>
    <font>
      <sz val="8"/>
      <color indexed="16"/>
      <name val="Arial"/>
      <family val="2"/>
      <charset val="204"/>
    </font>
    <font>
      <b/>
      <sz val="8"/>
      <color indexed="9"/>
      <name val="Arial"/>
      <family val="2"/>
      <charset val="204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b/>
      <sz val="12"/>
      <color indexed="10"/>
      <name val="Arial"/>
      <family val="2"/>
      <charset val="204"/>
    </font>
    <font>
      <sz val="12"/>
      <color indexed="10"/>
      <name val="Arial"/>
      <family val="2"/>
      <charset val="204"/>
    </font>
    <font>
      <sz val="10"/>
      <color indexed="10"/>
      <name val="Arial"/>
      <family val="2"/>
      <charset val="204"/>
    </font>
    <font>
      <b/>
      <sz val="11"/>
      <name val="Arial"/>
      <family val="2"/>
      <charset val="204"/>
    </font>
    <font>
      <sz val="8"/>
      <name val="Arial"/>
      <family val="2"/>
      <charset val="204"/>
    </font>
    <font>
      <sz val="12"/>
      <name val="Arial"/>
      <family val="2"/>
      <charset val="204"/>
    </font>
    <font>
      <sz val="7"/>
      <color indexed="8"/>
      <name val="Arial"/>
      <family val="2"/>
      <charset val="204"/>
    </font>
    <font>
      <sz val="7"/>
      <name val="Arial"/>
      <family val="2"/>
      <charset val="204"/>
    </font>
    <font>
      <b/>
      <sz val="7"/>
      <name val="Arial"/>
      <family val="2"/>
      <charset val="204"/>
    </font>
    <font>
      <b/>
      <sz val="8"/>
      <color indexed="10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b/>
      <sz val="10"/>
      <name val="Arial"/>
      <family val="2"/>
      <charset val="204"/>
    </font>
    <font>
      <b/>
      <sz val="12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0"/>
      <name val="Times New Roman"/>
      <family val="1"/>
      <charset val="204"/>
    </font>
  </fonts>
  <fills count="14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6" tint="0.59999389629810485"/>
        <bgColor indexed="64"/>
      </patternFill>
    </fill>
  </fills>
  <borders count="6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30" fillId="0" borderId="0"/>
    <xf numFmtId="164" fontId="32" fillId="0" borderId="0" applyFont="0" applyFill="0" applyBorder="0" applyAlignment="0" applyProtection="0"/>
  </cellStyleXfs>
  <cellXfs count="596">
    <xf numFmtId="0" fontId="0" fillId="0" borderId="0" xfId="0"/>
    <xf numFmtId="0" fontId="2" fillId="0" borderId="0" xfId="0" applyFont="1"/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2" fillId="0" borderId="1" xfId="0" applyFont="1" applyFill="1" applyBorder="1"/>
    <xf numFmtId="0" fontId="2" fillId="0" borderId="2" xfId="0" applyFont="1" applyFill="1" applyBorder="1"/>
    <xf numFmtId="0" fontId="8" fillId="0" borderId="0" xfId="0" applyFont="1" applyFill="1" applyBorder="1"/>
    <xf numFmtId="0" fontId="9" fillId="0" borderId="3" xfId="0" applyFont="1" applyFill="1" applyBorder="1" applyAlignment="1">
      <alignment vertical="center" wrapText="1"/>
    </xf>
    <xf numFmtId="0" fontId="9" fillId="0" borderId="4" xfId="0" applyFont="1" applyFill="1" applyBorder="1" applyAlignment="1">
      <alignment vertical="center" wrapText="1"/>
    </xf>
    <xf numFmtId="0" fontId="2" fillId="0" borderId="0" xfId="0" applyFont="1" applyBorder="1"/>
    <xf numFmtId="0" fontId="2" fillId="0" borderId="0" xfId="0" applyFont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1" fontId="9" fillId="0" borderId="4" xfId="0" applyNumberFormat="1" applyFont="1" applyFill="1" applyBorder="1" applyAlignment="1">
      <alignment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5" fillId="0" borderId="0" xfId="0" applyFont="1" applyBorder="1"/>
    <xf numFmtId="0" fontId="2" fillId="0" borderId="5" xfId="0" applyFont="1" applyFill="1" applyBorder="1" applyAlignment="1">
      <alignment horizontal="center"/>
    </xf>
    <xf numFmtId="0" fontId="10" fillId="0" borderId="4" xfId="0" applyFont="1" applyFill="1" applyBorder="1" applyAlignment="1">
      <alignment vertical="center" wrapText="1"/>
    </xf>
    <xf numFmtId="0" fontId="10" fillId="0" borderId="4" xfId="0" applyFont="1" applyFill="1" applyBorder="1"/>
    <xf numFmtId="1" fontId="10" fillId="0" borderId="4" xfId="0" applyNumberFormat="1" applyFont="1" applyFill="1" applyBorder="1"/>
    <xf numFmtId="2" fontId="2" fillId="0" borderId="4" xfId="0" applyNumberFormat="1" applyFont="1" applyFill="1" applyBorder="1"/>
    <xf numFmtId="2" fontId="10" fillId="0" borderId="4" xfId="0" applyNumberFormat="1" applyFont="1" applyFill="1" applyBorder="1"/>
    <xf numFmtId="165" fontId="10" fillId="0" borderId="4" xfId="0" applyNumberFormat="1" applyFont="1" applyFill="1" applyBorder="1"/>
    <xf numFmtId="0" fontId="2" fillId="0" borderId="4" xfId="0" applyFont="1" applyFill="1" applyBorder="1"/>
    <xf numFmtId="1" fontId="2" fillId="0" borderId="4" xfId="0" applyNumberFormat="1" applyFont="1" applyFill="1" applyBorder="1"/>
    <xf numFmtId="1" fontId="11" fillId="0" borderId="4" xfId="0" applyNumberFormat="1" applyFont="1" applyFill="1" applyBorder="1"/>
    <xf numFmtId="1" fontId="5" fillId="0" borderId="0" xfId="0" applyNumberFormat="1" applyFont="1" applyFill="1" applyBorder="1"/>
    <xf numFmtId="1" fontId="2" fillId="0" borderId="0" xfId="0" applyNumberFormat="1" applyFont="1" applyFill="1" applyBorder="1"/>
    <xf numFmtId="0" fontId="10" fillId="0" borderId="0" xfId="0" applyFont="1" applyBorder="1" applyAlignment="1">
      <alignment vertical="center" wrapText="1"/>
    </xf>
    <xf numFmtId="0" fontId="14" fillId="0" borderId="0" xfId="0" applyFont="1" applyBorder="1"/>
    <xf numFmtId="0" fontId="10" fillId="0" borderId="5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 vertical="center" wrapText="1"/>
    </xf>
    <xf numFmtId="0" fontId="15" fillId="0" borderId="4" xfId="0" applyFont="1" applyFill="1" applyBorder="1"/>
    <xf numFmtId="0" fontId="5" fillId="0" borderId="5" xfId="0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5" fillId="0" borderId="4" xfId="0" applyFont="1" applyFill="1" applyBorder="1"/>
    <xf numFmtId="2" fontId="5" fillId="0" borderId="0" xfId="0" applyNumberFormat="1" applyFont="1" applyFill="1" applyBorder="1"/>
    <xf numFmtId="0" fontId="5" fillId="0" borderId="6" xfId="0" applyFont="1" applyFill="1" applyBorder="1" applyAlignment="1">
      <alignment horizontal="center"/>
    </xf>
    <xf numFmtId="0" fontId="5" fillId="0" borderId="7" xfId="0" applyFont="1" applyFill="1" applyBorder="1" applyAlignment="1">
      <alignment horizontal="center"/>
    </xf>
    <xf numFmtId="0" fontId="5" fillId="0" borderId="7" xfId="0" applyFont="1" applyFill="1" applyBorder="1"/>
    <xf numFmtId="1" fontId="5" fillId="0" borderId="7" xfId="0" applyNumberFormat="1" applyFont="1" applyFill="1" applyBorder="1"/>
    <xf numFmtId="2" fontId="5" fillId="0" borderId="7" xfId="0" applyNumberFormat="1" applyFont="1" applyFill="1" applyBorder="1"/>
    <xf numFmtId="1" fontId="5" fillId="0" borderId="8" xfId="0" applyNumberFormat="1" applyFont="1" applyFill="1" applyBorder="1"/>
    <xf numFmtId="0" fontId="5" fillId="0" borderId="0" xfId="0" applyFont="1" applyBorder="1" applyAlignment="1">
      <alignment horizontal="center"/>
    </xf>
    <xf numFmtId="0" fontId="5" fillId="0" borderId="0" xfId="0" applyFont="1" applyFill="1" applyBorder="1"/>
    <xf numFmtId="1" fontId="16" fillId="0" borderId="0" xfId="0" applyNumberFormat="1" applyFont="1" applyFill="1" applyBorder="1"/>
    <xf numFmtId="0" fontId="13" fillId="0" borderId="0" xfId="0" applyFont="1" applyFill="1" applyBorder="1"/>
    <xf numFmtId="0" fontId="2" fillId="0" borderId="0" xfId="0" applyFont="1" applyFill="1" applyBorder="1"/>
    <xf numFmtId="0" fontId="17" fillId="0" borderId="0" xfId="0" applyFont="1"/>
    <xf numFmtId="0" fontId="18" fillId="0" borderId="0" xfId="0" applyFont="1"/>
    <xf numFmtId="0" fontId="19" fillId="0" borderId="0" xfId="0" applyFont="1" applyFill="1" applyBorder="1"/>
    <xf numFmtId="0" fontId="17" fillId="0" borderId="0" xfId="0" applyFont="1" applyBorder="1"/>
    <xf numFmtId="0" fontId="20" fillId="0" borderId="0" xfId="0" applyFont="1"/>
    <xf numFmtId="0" fontId="9" fillId="0" borderId="0" xfId="0" applyFont="1" applyBorder="1" applyAlignment="1">
      <alignment horizontal="center" vertical="center" wrapText="1"/>
    </xf>
    <xf numFmtId="0" fontId="21" fillId="0" borderId="0" xfId="0" applyFont="1"/>
    <xf numFmtId="0" fontId="3" fillId="0" borderId="0" xfId="0" applyFont="1"/>
    <xf numFmtId="0" fontId="21" fillId="0" borderId="0" xfId="0" applyFont="1" applyBorder="1" applyAlignment="1">
      <alignment horizontal="center" vertical="center" wrapText="1"/>
    </xf>
    <xf numFmtId="0" fontId="21" fillId="0" borderId="0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vertical="center" wrapText="1"/>
    </xf>
    <xf numFmtId="0" fontId="11" fillId="0" borderId="0" xfId="0" applyFont="1" applyFill="1" applyBorder="1"/>
    <xf numFmtId="9" fontId="11" fillId="0" borderId="0" xfId="0" applyNumberFormat="1" applyFont="1" applyFill="1" applyBorder="1"/>
    <xf numFmtId="0" fontId="11" fillId="0" borderId="0" xfId="0" applyFont="1" applyFill="1" applyBorder="1" applyAlignment="1">
      <alignment vertical="center" wrapText="1"/>
    </xf>
    <xf numFmtId="0" fontId="11" fillId="0" borderId="0" xfId="0" applyFont="1"/>
    <xf numFmtId="0" fontId="2" fillId="0" borderId="0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11" fillId="0" borderId="0" xfId="0" applyFont="1" applyBorder="1"/>
    <xf numFmtId="0" fontId="2" fillId="0" borderId="0" xfId="0" applyFont="1" applyBorder="1" applyAlignment="1">
      <alignment vertical="center" wrapText="1"/>
    </xf>
    <xf numFmtId="0" fontId="2" fillId="0" borderId="0" xfId="0" applyFont="1" applyFill="1" applyBorder="1" applyAlignment="1">
      <alignment vertical="center" wrapText="1"/>
    </xf>
    <xf numFmtId="0" fontId="10" fillId="0" borderId="0" xfId="0" applyFont="1" applyBorder="1"/>
    <xf numFmtId="0" fontId="2" fillId="0" borderId="0" xfId="0" applyFont="1" applyFill="1" applyBorder="1" applyAlignment="1"/>
    <xf numFmtId="9" fontId="2" fillId="0" borderId="0" xfId="0" applyNumberFormat="1" applyFont="1" applyFill="1" applyBorder="1"/>
    <xf numFmtId="0" fontId="2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0" fillId="0" borderId="0" xfId="0" applyFont="1" applyFill="1" applyBorder="1"/>
    <xf numFmtId="0" fontId="5" fillId="0" borderId="0" xfId="0" applyFont="1" applyFill="1" applyBorder="1" applyAlignment="1">
      <alignment horizontal="center"/>
    </xf>
    <xf numFmtId="2" fontId="2" fillId="0" borderId="0" xfId="0" applyNumberFormat="1" applyFont="1" applyFill="1" applyBorder="1"/>
    <xf numFmtId="0" fontId="6" fillId="0" borderId="9" xfId="0" applyFont="1" applyFill="1" applyBorder="1" applyAlignment="1">
      <alignment vertical="center" wrapText="1"/>
    </xf>
    <xf numFmtId="1" fontId="10" fillId="0" borderId="9" xfId="0" applyNumberFormat="1" applyFont="1" applyFill="1" applyBorder="1"/>
    <xf numFmtId="1" fontId="12" fillId="0" borderId="10" xfId="0" applyNumberFormat="1" applyFont="1" applyFill="1" applyBorder="1"/>
    <xf numFmtId="0" fontId="2" fillId="2" borderId="5" xfId="0" applyFont="1" applyFill="1" applyBorder="1" applyAlignment="1">
      <alignment horizontal="center"/>
    </xf>
    <xf numFmtId="0" fontId="10" fillId="2" borderId="4" xfId="0" applyFont="1" applyFill="1" applyBorder="1" applyAlignment="1">
      <alignment vertical="center" wrapText="1"/>
    </xf>
    <xf numFmtId="0" fontId="10" fillId="2" borderId="4" xfId="0" applyFont="1" applyFill="1" applyBorder="1"/>
    <xf numFmtId="1" fontId="10" fillId="2" borderId="4" xfId="0" applyNumberFormat="1" applyFont="1" applyFill="1" applyBorder="1"/>
    <xf numFmtId="2" fontId="2" fillId="2" borderId="4" xfId="0" applyNumberFormat="1" applyFont="1" applyFill="1" applyBorder="1"/>
    <xf numFmtId="2" fontId="10" fillId="2" borderId="4" xfId="0" applyNumberFormat="1" applyFont="1" applyFill="1" applyBorder="1"/>
    <xf numFmtId="165" fontId="10" fillId="2" borderId="4" xfId="0" applyNumberFormat="1" applyFont="1" applyFill="1" applyBorder="1"/>
    <xf numFmtId="0" fontId="2" fillId="2" borderId="4" xfId="0" applyFont="1" applyFill="1" applyBorder="1"/>
    <xf numFmtId="1" fontId="2" fillId="2" borderId="4" xfId="0" applyNumberFormat="1" applyFont="1" applyFill="1" applyBorder="1"/>
    <xf numFmtId="1" fontId="11" fillId="2" borderId="4" xfId="0" applyNumberFormat="1" applyFont="1" applyFill="1" applyBorder="1"/>
    <xf numFmtId="1" fontId="10" fillId="2" borderId="9" xfId="0" applyNumberFormat="1" applyFont="1" applyFill="1" applyBorder="1"/>
    <xf numFmtId="1" fontId="12" fillId="2" borderId="10" xfId="0" applyNumberFormat="1" applyFont="1" applyFill="1" applyBorder="1"/>
    <xf numFmtId="0" fontId="10" fillId="2" borderId="5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vertical="center" wrapText="1"/>
    </xf>
    <xf numFmtId="0" fontId="15" fillId="2" borderId="4" xfId="0" applyFont="1" applyFill="1" applyBorder="1"/>
    <xf numFmtId="1" fontId="2" fillId="2" borderId="4" xfId="0" applyNumberFormat="1" applyFont="1" applyFill="1" applyBorder="1" applyAlignment="1">
      <alignment horizontal="center" vertical="center" wrapText="1"/>
    </xf>
    <xf numFmtId="0" fontId="12" fillId="3" borderId="4" xfId="0" applyFont="1" applyFill="1" applyBorder="1"/>
    <xf numFmtId="1" fontId="12" fillId="3" borderId="4" xfId="0" applyNumberFormat="1" applyFont="1" applyFill="1" applyBorder="1"/>
    <xf numFmtId="2" fontId="5" fillId="3" borderId="4" xfId="0" applyNumberFormat="1" applyFont="1" applyFill="1" applyBorder="1"/>
    <xf numFmtId="2" fontId="12" fillId="3" borderId="4" xfId="0" applyNumberFormat="1" applyFont="1" applyFill="1" applyBorder="1"/>
    <xf numFmtId="1" fontId="5" fillId="3" borderId="4" xfId="0" applyNumberFormat="1" applyFont="1" applyFill="1" applyBorder="1"/>
    <xf numFmtId="1" fontId="12" fillId="3" borderId="9" xfId="0" applyNumberFormat="1" applyFont="1" applyFill="1" applyBorder="1"/>
    <xf numFmtId="3" fontId="12" fillId="3" borderId="10" xfId="0" applyNumberFormat="1" applyFont="1" applyFill="1" applyBorder="1"/>
    <xf numFmtId="0" fontId="2" fillId="0" borderId="11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vertical="center" wrapText="1"/>
    </xf>
    <xf numFmtId="0" fontId="9" fillId="0" borderId="13" xfId="0" applyFont="1" applyFill="1" applyBorder="1" applyAlignment="1">
      <alignment vertical="center" wrapText="1"/>
    </xf>
    <xf numFmtId="0" fontId="2" fillId="4" borderId="0" xfId="0" applyFont="1" applyFill="1"/>
    <xf numFmtId="0" fontId="2" fillId="4" borderId="3" xfId="0" applyFont="1" applyFill="1" applyBorder="1" applyAlignment="1">
      <alignment vertical="center" wrapText="1"/>
    </xf>
    <xf numFmtId="0" fontId="2" fillId="4" borderId="14" xfId="0" applyFont="1" applyFill="1" applyBorder="1" applyAlignment="1">
      <alignment vertical="center" wrapText="1"/>
    </xf>
    <xf numFmtId="1" fontId="7" fillId="0" borderId="0" xfId="0" applyNumberFormat="1" applyFont="1"/>
    <xf numFmtId="49" fontId="17" fillId="0" borderId="0" xfId="0" applyNumberFormat="1" applyFont="1"/>
    <xf numFmtId="49" fontId="24" fillId="0" borderId="0" xfId="0" applyNumberFormat="1" applyFont="1"/>
    <xf numFmtId="49" fontId="7" fillId="0" borderId="0" xfId="0" applyNumberFormat="1" applyFont="1"/>
    <xf numFmtId="1" fontId="2" fillId="0" borderId="0" xfId="0" applyNumberFormat="1" applyFont="1"/>
    <xf numFmtId="0" fontId="9" fillId="5" borderId="4" xfId="0" applyFont="1" applyFill="1" applyBorder="1" applyAlignment="1">
      <alignment vertical="center" wrapText="1"/>
    </xf>
    <xf numFmtId="1" fontId="10" fillId="5" borderId="4" xfId="0" applyNumberFormat="1" applyFont="1" applyFill="1" applyBorder="1"/>
    <xf numFmtId="0" fontId="2" fillId="5" borderId="11" xfId="0" applyFont="1" applyFill="1" applyBorder="1" applyAlignment="1">
      <alignment horizontal="center" vertical="center" wrapText="1"/>
    </xf>
    <xf numFmtId="0" fontId="2" fillId="5" borderId="12" xfId="0" applyFont="1" applyFill="1" applyBorder="1" applyAlignment="1">
      <alignment vertical="center" wrapText="1"/>
    </xf>
    <xf numFmtId="9" fontId="2" fillId="5" borderId="13" xfId="0" applyNumberFormat="1" applyFont="1" applyFill="1" applyBorder="1" applyAlignment="1">
      <alignment vertical="center" wrapText="1"/>
    </xf>
    <xf numFmtId="0" fontId="2" fillId="5" borderId="13" xfId="0" applyFont="1" applyFill="1" applyBorder="1" applyAlignment="1">
      <alignment vertical="center" wrapText="1"/>
    </xf>
    <xf numFmtId="0" fontId="2" fillId="5" borderId="4" xfId="0" applyFont="1" applyFill="1" applyBorder="1" applyAlignment="1">
      <alignment vertical="center" wrapText="1"/>
    </xf>
    <xf numFmtId="49" fontId="2" fillId="5" borderId="4" xfId="0" applyNumberFormat="1" applyFont="1" applyFill="1" applyBorder="1" applyAlignment="1">
      <alignment vertical="center" wrapText="1"/>
    </xf>
    <xf numFmtId="0" fontId="2" fillId="5" borderId="15" xfId="0" applyFont="1" applyFill="1" applyBorder="1" applyAlignment="1">
      <alignment vertical="center" wrapText="1"/>
    </xf>
    <xf numFmtId="1" fontId="13" fillId="0" borderId="0" xfId="0" applyNumberFormat="1" applyFont="1" applyFill="1" applyBorder="1"/>
    <xf numFmtId="0" fontId="2" fillId="0" borderId="4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vertical="center" wrapText="1"/>
    </xf>
    <xf numFmtId="0" fontId="5" fillId="0" borderId="9" xfId="0" applyFont="1" applyFill="1" applyBorder="1" applyAlignment="1">
      <alignment vertical="center" wrapText="1"/>
    </xf>
    <xf numFmtId="1" fontId="25" fillId="5" borderId="4" xfId="0" applyNumberFormat="1" applyFont="1" applyFill="1" applyBorder="1"/>
    <xf numFmtId="0" fontId="25" fillId="2" borderId="4" xfId="0" applyFont="1" applyFill="1" applyBorder="1" applyAlignment="1">
      <alignment vertical="center" wrapText="1"/>
    </xf>
    <xf numFmtId="0" fontId="25" fillId="0" borderId="4" xfId="0" applyFont="1" applyFill="1" applyBorder="1" applyAlignment="1">
      <alignment vertical="center" wrapText="1"/>
    </xf>
    <xf numFmtId="0" fontId="26" fillId="2" borderId="4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horizontal="center" vertical="center" wrapText="1"/>
    </xf>
    <xf numFmtId="1" fontId="2" fillId="0" borderId="4" xfId="0" applyNumberFormat="1" applyFont="1" applyFill="1" applyBorder="1" applyAlignment="1">
      <alignment vertical="center" wrapText="1"/>
    </xf>
    <xf numFmtId="1" fontId="27" fillId="0" borderId="0" xfId="0" applyNumberFormat="1" applyFont="1" applyFill="1" applyBorder="1"/>
    <xf numFmtId="1" fontId="26" fillId="0" borderId="0" xfId="0" applyNumberFormat="1" applyFont="1"/>
    <xf numFmtId="0" fontId="26" fillId="0" borderId="0" xfId="0" applyFont="1"/>
    <xf numFmtId="49" fontId="26" fillId="0" borderId="0" xfId="0" applyNumberFormat="1" applyFont="1"/>
    <xf numFmtId="0" fontId="26" fillId="5" borderId="13" xfId="0" applyFont="1" applyFill="1" applyBorder="1" applyAlignment="1">
      <alignment vertical="center" wrapText="1"/>
    </xf>
    <xf numFmtId="0" fontId="2" fillId="5" borderId="3" xfId="0" applyFont="1" applyFill="1" applyBorder="1" applyAlignment="1">
      <alignment vertical="center" wrapText="1"/>
    </xf>
    <xf numFmtId="1" fontId="7" fillId="0" borderId="0" xfId="0" applyNumberFormat="1" applyFont="1" applyBorder="1" applyAlignment="1">
      <alignment horizontal="center" vertical="center" wrapText="1"/>
    </xf>
    <xf numFmtId="0" fontId="24" fillId="0" borderId="0" xfId="0" applyFont="1" applyBorder="1"/>
    <xf numFmtId="0" fontId="22" fillId="0" borderId="0" xfId="0" applyFont="1"/>
    <xf numFmtId="0" fontId="21" fillId="0" borderId="0" xfId="0" applyFont="1" applyAlignment="1">
      <alignment horizontal="right" wrapText="1"/>
    </xf>
    <xf numFmtId="0" fontId="17" fillId="0" borderId="0" xfId="0" applyFont="1" applyFill="1" applyBorder="1"/>
    <xf numFmtId="0" fontId="18" fillId="0" borderId="0" xfId="0" applyFont="1" applyAlignment="1">
      <alignment horizontal="left"/>
    </xf>
    <xf numFmtId="0" fontId="18" fillId="0" borderId="0" xfId="0" applyFont="1" applyFill="1"/>
    <xf numFmtId="49" fontId="26" fillId="5" borderId="4" xfId="0" applyNumberFormat="1" applyFont="1" applyFill="1" applyBorder="1" applyAlignment="1">
      <alignment vertical="center" wrapText="1"/>
    </xf>
    <xf numFmtId="0" fontId="28" fillId="5" borderId="4" xfId="0" applyFont="1" applyFill="1" applyBorder="1"/>
    <xf numFmtId="2" fontId="28" fillId="5" borderId="7" xfId="0" applyNumberFormat="1" applyFont="1" applyFill="1" applyBorder="1"/>
    <xf numFmtId="0" fontId="7" fillId="0" borderId="13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vertical="center" wrapText="1"/>
    </xf>
    <xf numFmtId="0" fontId="2" fillId="0" borderId="18" xfId="0" applyFont="1" applyFill="1" applyBorder="1" applyAlignment="1">
      <alignment vertical="center" wrapText="1"/>
    </xf>
    <xf numFmtId="1" fontId="12" fillId="6" borderId="10" xfId="0" applyNumberFormat="1" applyFont="1" applyFill="1" applyBorder="1"/>
    <xf numFmtId="1" fontId="10" fillId="7" borderId="4" xfId="0" applyNumberFormat="1" applyFont="1" applyFill="1" applyBorder="1"/>
    <xf numFmtId="1" fontId="10" fillId="8" borderId="4" xfId="0" applyNumberFormat="1" applyFont="1" applyFill="1" applyBorder="1"/>
    <xf numFmtId="0" fontId="7" fillId="0" borderId="4" xfId="0" applyFont="1" applyFill="1" applyBorder="1" applyAlignment="1">
      <alignment horizontal="center" vertical="center" wrapText="1"/>
    </xf>
    <xf numFmtId="1" fontId="12" fillId="0" borderId="4" xfId="0" applyNumberFormat="1" applyFont="1" applyFill="1" applyBorder="1"/>
    <xf numFmtId="0" fontId="7" fillId="0" borderId="9" xfId="0" applyFont="1" applyFill="1" applyBorder="1" applyAlignment="1">
      <alignment horizontal="center" vertical="center" wrapText="1"/>
    </xf>
    <xf numFmtId="1" fontId="10" fillId="7" borderId="9" xfId="0" applyNumberFormat="1" applyFont="1" applyFill="1" applyBorder="1"/>
    <xf numFmtId="1" fontId="10" fillId="8" borderId="9" xfId="0" applyNumberFormat="1" applyFont="1" applyFill="1" applyBorder="1"/>
    <xf numFmtId="1" fontId="12" fillId="6" borderId="19" xfId="0" applyNumberFormat="1" applyFont="1" applyFill="1" applyBorder="1"/>
    <xf numFmtId="3" fontId="12" fillId="6" borderId="19" xfId="0" applyNumberFormat="1" applyFont="1" applyFill="1" applyBorder="1"/>
    <xf numFmtId="1" fontId="12" fillId="7" borderId="4" xfId="0" applyNumberFormat="1" applyFont="1" applyFill="1" applyBorder="1"/>
    <xf numFmtId="3" fontId="12" fillId="7" borderId="4" xfId="0" applyNumberFormat="1" applyFont="1" applyFill="1" applyBorder="1"/>
    <xf numFmtId="1" fontId="12" fillId="2" borderId="19" xfId="0" applyNumberFormat="1" applyFont="1" applyFill="1" applyBorder="1"/>
    <xf numFmtId="1" fontId="12" fillId="0" borderId="19" xfId="0" applyNumberFormat="1" applyFont="1" applyFill="1" applyBorder="1"/>
    <xf numFmtId="1" fontId="12" fillId="2" borderId="4" xfId="0" applyNumberFormat="1" applyFont="1" applyFill="1" applyBorder="1"/>
    <xf numFmtId="3" fontId="12" fillId="3" borderId="4" xfId="0" applyNumberFormat="1" applyFont="1" applyFill="1" applyBorder="1"/>
    <xf numFmtId="0" fontId="9" fillId="0" borderId="4" xfId="0" applyFont="1" applyFill="1" applyBorder="1" applyAlignment="1">
      <alignment horizontal="center" vertical="center" wrapText="1"/>
    </xf>
    <xf numFmtId="1" fontId="10" fillId="2" borderId="4" xfId="0" applyNumberFormat="1" applyFont="1" applyFill="1" applyBorder="1" applyAlignment="1"/>
    <xf numFmtId="0" fontId="2" fillId="0" borderId="4" xfId="0" applyFont="1" applyBorder="1" applyAlignment="1"/>
    <xf numFmtId="0" fontId="7" fillId="0" borderId="4" xfId="0" applyFont="1" applyBorder="1" applyAlignment="1"/>
    <xf numFmtId="0" fontId="14" fillId="0" borderId="4" xfId="0" applyFont="1" applyBorder="1" applyAlignment="1">
      <alignment horizontal="center" vertical="center"/>
    </xf>
    <xf numFmtId="1" fontId="17" fillId="0" borderId="0" xfId="0" applyNumberFormat="1" applyFont="1"/>
    <xf numFmtId="1" fontId="10" fillId="7" borderId="4" xfId="0" applyNumberFormat="1" applyFont="1" applyFill="1" applyBorder="1" applyAlignment="1"/>
    <xf numFmtId="0" fontId="2" fillId="2" borderId="4" xfId="0" applyFont="1" applyFill="1" applyBorder="1" applyAlignment="1"/>
    <xf numFmtId="0" fontId="7" fillId="2" borderId="4" xfId="0" applyFont="1" applyFill="1" applyBorder="1" applyAlignment="1"/>
    <xf numFmtId="0" fontId="14" fillId="2" borderId="9" xfId="0" applyFont="1" applyFill="1" applyBorder="1"/>
    <xf numFmtId="0" fontId="14" fillId="6" borderId="9" xfId="0" applyFont="1" applyFill="1" applyBorder="1"/>
    <xf numFmtId="0" fontId="6" fillId="7" borderId="20" xfId="0" applyFont="1" applyFill="1" applyBorder="1" applyAlignment="1">
      <alignment vertical="center" wrapText="1"/>
    </xf>
    <xf numFmtId="1" fontId="10" fillId="2" borderId="20" xfId="0" applyNumberFormat="1" applyFont="1" applyFill="1" applyBorder="1" applyAlignment="1">
      <alignment wrapText="1"/>
    </xf>
    <xf numFmtId="1" fontId="10" fillId="7" borderId="20" xfId="0" applyNumberFormat="1" applyFont="1" applyFill="1" applyBorder="1" applyAlignment="1">
      <alignment wrapText="1"/>
    </xf>
    <xf numFmtId="1" fontId="12" fillId="6" borderId="10" xfId="0" applyNumberFormat="1" applyFont="1" applyFill="1" applyBorder="1" applyAlignment="1">
      <alignment wrapText="1"/>
    </xf>
    <xf numFmtId="1" fontId="12" fillId="0" borderId="21" xfId="0" applyNumberFormat="1" applyFont="1" applyFill="1" applyBorder="1"/>
    <xf numFmtId="3" fontId="10" fillId="7" borderId="4" xfId="0" applyNumberFormat="1" applyFont="1" applyFill="1" applyBorder="1"/>
    <xf numFmtId="1" fontId="12" fillId="9" borderId="4" xfId="0" applyNumberFormat="1" applyFont="1" applyFill="1" applyBorder="1"/>
    <xf numFmtId="3" fontId="12" fillId="9" borderId="4" xfId="0" applyNumberFormat="1" applyFont="1" applyFill="1" applyBorder="1"/>
    <xf numFmtId="1" fontId="13" fillId="9" borderId="0" xfId="0" applyNumberFormat="1" applyFont="1" applyFill="1" applyBorder="1"/>
    <xf numFmtId="1" fontId="12" fillId="9" borderId="19" xfId="0" applyNumberFormat="1" applyFont="1" applyFill="1" applyBorder="1"/>
    <xf numFmtId="4" fontId="26" fillId="5" borderId="4" xfId="0" applyNumberFormat="1" applyFont="1" applyFill="1" applyBorder="1" applyAlignment="1">
      <alignment vertical="center" wrapText="1"/>
    </xf>
    <xf numFmtId="0" fontId="2" fillId="0" borderId="22" xfId="0" applyFont="1" applyFill="1" applyBorder="1" applyAlignment="1">
      <alignment vertical="center" wrapText="1"/>
    </xf>
    <xf numFmtId="0" fontId="2" fillId="0" borderId="23" xfId="0" applyFont="1" applyFill="1" applyBorder="1" applyAlignment="1">
      <alignment vertical="center" wrapText="1"/>
    </xf>
    <xf numFmtId="2" fontId="26" fillId="5" borderId="13" xfId="0" applyNumberFormat="1" applyFont="1" applyFill="1" applyBorder="1" applyAlignment="1">
      <alignment vertical="center" wrapText="1"/>
    </xf>
    <xf numFmtId="0" fontId="9" fillId="0" borderId="0" xfId="0" applyFont="1" applyBorder="1" applyAlignment="1">
      <alignment wrapText="1"/>
    </xf>
    <xf numFmtId="1" fontId="9" fillId="0" borderId="0" xfId="0" applyNumberFormat="1" applyFont="1" applyBorder="1"/>
    <xf numFmtId="0" fontId="14" fillId="7" borderId="4" xfId="0" applyFont="1" applyFill="1" applyBorder="1" applyAlignment="1">
      <alignment horizontal="center" vertical="center" wrapText="1"/>
    </xf>
    <xf numFmtId="0" fontId="14" fillId="7" borderId="9" xfId="0" applyFont="1" applyFill="1" applyBorder="1" applyAlignment="1">
      <alignment horizontal="center" vertical="center" wrapText="1"/>
    </xf>
    <xf numFmtId="0" fontId="14" fillId="2" borderId="4" xfId="0" applyFont="1" applyFill="1" applyBorder="1"/>
    <xf numFmtId="1" fontId="3" fillId="0" borderId="0" xfId="0" applyNumberFormat="1" applyFont="1"/>
    <xf numFmtId="0" fontId="14" fillId="0" borderId="9" xfId="0" applyFont="1" applyFill="1" applyBorder="1"/>
    <xf numFmtId="0" fontId="14" fillId="0" borderId="4" xfId="0" applyFont="1" applyFill="1" applyBorder="1"/>
    <xf numFmtId="0" fontId="23" fillId="0" borderId="0" xfId="0" applyFont="1"/>
    <xf numFmtId="1" fontId="6" fillId="0" borderId="0" xfId="0" applyNumberFormat="1" applyFont="1" applyBorder="1"/>
    <xf numFmtId="1" fontId="18" fillId="0" borderId="0" xfId="0" applyNumberFormat="1" applyFont="1"/>
    <xf numFmtId="0" fontId="5" fillId="0" borderId="0" xfId="0" applyFont="1"/>
    <xf numFmtId="0" fontId="17" fillId="0" borderId="0" xfId="0" applyFont="1" applyAlignment="1"/>
    <xf numFmtId="0" fontId="18" fillId="0" borderId="0" xfId="0" applyFont="1" applyFill="1" applyAlignment="1"/>
    <xf numFmtId="0" fontId="17" fillId="0" borderId="0" xfId="0" applyFont="1" applyFill="1" applyAlignment="1"/>
    <xf numFmtId="1" fontId="9" fillId="6" borderId="10" xfId="0" applyNumberFormat="1" applyFont="1" applyFill="1" applyBorder="1"/>
    <xf numFmtId="0" fontId="2" fillId="0" borderId="0" xfId="0" applyFont="1" applyFill="1"/>
    <xf numFmtId="0" fontId="9" fillId="0" borderId="0" xfId="0" applyFont="1" applyAlignment="1"/>
    <xf numFmtId="0" fontId="10" fillId="2" borderId="24" xfId="0" applyFont="1" applyFill="1" applyBorder="1" applyAlignment="1">
      <alignment horizontal="center"/>
    </xf>
    <xf numFmtId="0" fontId="10" fillId="2" borderId="3" xfId="0" applyFont="1" applyFill="1" applyBorder="1" applyAlignment="1">
      <alignment vertical="center" wrapText="1"/>
    </xf>
    <xf numFmtId="0" fontId="10" fillId="2" borderId="3" xfId="0" applyFont="1" applyFill="1" applyBorder="1"/>
    <xf numFmtId="1" fontId="10" fillId="2" borderId="3" xfId="0" applyNumberFormat="1" applyFont="1" applyFill="1" applyBorder="1"/>
    <xf numFmtId="2" fontId="2" fillId="2" borderId="3" xfId="0" applyNumberFormat="1" applyFont="1" applyFill="1" applyBorder="1"/>
    <xf numFmtId="2" fontId="10" fillId="2" borderId="3" xfId="0" applyNumberFormat="1" applyFont="1" applyFill="1" applyBorder="1"/>
    <xf numFmtId="165" fontId="10" fillId="2" borderId="3" xfId="0" applyNumberFormat="1" applyFont="1" applyFill="1" applyBorder="1"/>
    <xf numFmtId="0" fontId="2" fillId="2" borderId="3" xfId="0" applyFont="1" applyFill="1" applyBorder="1"/>
    <xf numFmtId="0" fontId="2" fillId="2" borderId="3" xfId="0" applyFont="1" applyFill="1" applyBorder="1" applyAlignment="1">
      <alignment horizontal="center" vertical="center" wrapText="1"/>
    </xf>
    <xf numFmtId="1" fontId="10" fillId="2" borderId="12" xfId="0" applyNumberFormat="1" applyFont="1" applyFill="1" applyBorder="1"/>
    <xf numFmtId="1" fontId="12" fillId="6" borderId="25" xfId="0" applyNumberFormat="1" applyFont="1" applyFill="1" applyBorder="1"/>
    <xf numFmtId="1" fontId="10" fillId="2" borderId="3" xfId="0" applyNumberFormat="1" applyFont="1" applyFill="1" applyBorder="1" applyAlignment="1"/>
    <xf numFmtId="1" fontId="10" fillId="2" borderId="26" xfId="0" applyNumberFormat="1" applyFont="1" applyFill="1" applyBorder="1" applyAlignment="1">
      <alignment wrapText="1"/>
    </xf>
    <xf numFmtId="0" fontId="7" fillId="2" borderId="3" xfId="0" applyFont="1" applyFill="1" applyBorder="1" applyAlignment="1"/>
    <xf numFmtId="0" fontId="2" fillId="2" borderId="3" xfId="0" applyFont="1" applyFill="1" applyBorder="1" applyAlignment="1"/>
    <xf numFmtId="0" fontId="14" fillId="6" borderId="12" xfId="0" applyFont="1" applyFill="1" applyBorder="1"/>
    <xf numFmtId="0" fontId="14" fillId="2" borderId="3" xfId="0" applyFont="1" applyFill="1" applyBorder="1"/>
    <xf numFmtId="0" fontId="14" fillId="2" borderId="12" xfId="0" applyFont="1" applyFill="1" applyBorder="1"/>
    <xf numFmtId="1" fontId="9" fillId="6" borderId="25" xfId="0" applyNumberFormat="1" applyFont="1" applyFill="1" applyBorder="1"/>
    <xf numFmtId="0" fontId="12" fillId="0" borderId="27" xfId="0" applyFont="1" applyFill="1" applyBorder="1"/>
    <xf numFmtId="1" fontId="12" fillId="0" borderId="27" xfId="0" applyNumberFormat="1" applyFont="1" applyFill="1" applyBorder="1"/>
    <xf numFmtId="2" fontId="5" fillId="0" borderId="27" xfId="0" applyNumberFormat="1" applyFont="1" applyFill="1" applyBorder="1"/>
    <xf numFmtId="2" fontId="12" fillId="0" borderId="27" xfId="0" applyNumberFormat="1" applyFont="1" applyFill="1" applyBorder="1"/>
    <xf numFmtId="1" fontId="5" fillId="0" borderId="27" xfId="0" applyNumberFormat="1" applyFont="1" applyFill="1" applyBorder="1"/>
    <xf numFmtId="1" fontId="12" fillId="0" borderId="28" xfId="0" applyNumberFormat="1" applyFont="1" applyFill="1" applyBorder="1"/>
    <xf numFmtId="1" fontId="12" fillId="6" borderId="29" xfId="0" applyNumberFormat="1" applyFont="1" applyFill="1" applyBorder="1"/>
    <xf numFmtId="0" fontId="12" fillId="0" borderId="27" xfId="0" applyFont="1" applyFill="1" applyBorder="1" applyAlignment="1"/>
    <xf numFmtId="1" fontId="12" fillId="2" borderId="27" xfId="0" applyNumberFormat="1" applyFont="1" applyFill="1" applyBorder="1" applyAlignment="1"/>
    <xf numFmtId="1" fontId="12" fillId="6" borderId="29" xfId="0" applyNumberFormat="1" applyFont="1" applyFill="1" applyBorder="1" applyAlignment="1">
      <alignment wrapText="1"/>
    </xf>
    <xf numFmtId="0" fontId="5" fillId="0" borderId="30" xfId="0" applyFont="1" applyBorder="1" applyAlignment="1"/>
    <xf numFmtId="0" fontId="5" fillId="0" borderId="27" xfId="0" applyFont="1" applyBorder="1" applyAlignment="1"/>
    <xf numFmtId="0" fontId="14" fillId="6" borderId="28" xfId="0" applyFont="1" applyFill="1" applyBorder="1"/>
    <xf numFmtId="0" fontId="14" fillId="0" borderId="28" xfId="0" applyFont="1" applyFill="1" applyBorder="1"/>
    <xf numFmtId="1" fontId="6" fillId="6" borderId="29" xfId="0" applyNumberFormat="1" applyFont="1" applyFill="1" applyBorder="1"/>
    <xf numFmtId="0" fontId="5" fillId="0" borderId="31" xfId="0" applyFont="1" applyFill="1" applyBorder="1" applyAlignment="1">
      <alignment horizontal="center"/>
    </xf>
    <xf numFmtId="0" fontId="5" fillId="0" borderId="32" xfId="0" applyFont="1" applyFill="1" applyBorder="1" applyAlignment="1">
      <alignment horizontal="center"/>
    </xf>
    <xf numFmtId="0" fontId="5" fillId="0" borderId="32" xfId="0" applyFont="1" applyFill="1" applyBorder="1"/>
    <xf numFmtId="1" fontId="5" fillId="0" borderId="32" xfId="0" applyNumberFormat="1" applyFont="1" applyFill="1" applyBorder="1"/>
    <xf numFmtId="2" fontId="5" fillId="0" borderId="32" xfId="0" applyNumberFormat="1" applyFont="1" applyFill="1" applyBorder="1"/>
    <xf numFmtId="1" fontId="5" fillId="0" borderId="33" xfId="0" applyNumberFormat="1" applyFont="1" applyFill="1" applyBorder="1"/>
    <xf numFmtId="1" fontId="12" fillId="6" borderId="34" xfId="0" applyNumberFormat="1" applyFont="1" applyFill="1" applyBorder="1"/>
    <xf numFmtId="1" fontId="5" fillId="0" borderId="32" xfId="0" applyNumberFormat="1" applyFont="1" applyFill="1" applyBorder="1" applyAlignment="1"/>
    <xf numFmtId="1" fontId="12" fillId="7" borderId="14" xfId="0" applyNumberFormat="1" applyFont="1" applyFill="1" applyBorder="1" applyAlignment="1"/>
    <xf numFmtId="1" fontId="12" fillId="6" borderId="34" xfId="0" applyNumberFormat="1" applyFont="1" applyFill="1" applyBorder="1" applyAlignment="1">
      <alignment wrapText="1"/>
    </xf>
    <xf numFmtId="1" fontId="12" fillId="7" borderId="16" xfId="0" applyNumberFormat="1" applyFont="1" applyFill="1" applyBorder="1" applyAlignment="1">
      <alignment wrapText="1"/>
    </xf>
    <xf numFmtId="0" fontId="5" fillId="0" borderId="14" xfId="0" applyFont="1" applyBorder="1" applyAlignment="1"/>
    <xf numFmtId="0" fontId="14" fillId="6" borderId="13" xfId="0" applyFont="1" applyFill="1" applyBorder="1"/>
    <xf numFmtId="0" fontId="14" fillId="7" borderId="14" xfId="0" applyFont="1" applyFill="1" applyBorder="1"/>
    <xf numFmtId="0" fontId="14" fillId="7" borderId="13" xfId="0" applyFont="1" applyFill="1" applyBorder="1"/>
    <xf numFmtId="1" fontId="6" fillId="6" borderId="35" xfId="0" applyNumberFormat="1" applyFont="1" applyFill="1" applyBorder="1"/>
    <xf numFmtId="0" fontId="2" fillId="0" borderId="36" xfId="0" applyFont="1" applyFill="1" applyBorder="1" applyAlignment="1">
      <alignment horizontal="center"/>
    </xf>
    <xf numFmtId="0" fontId="2" fillId="0" borderId="27" xfId="0" applyFont="1" applyFill="1" applyBorder="1" applyAlignment="1">
      <alignment horizontal="center"/>
    </xf>
    <xf numFmtId="0" fontId="2" fillId="0" borderId="27" xfId="0" applyFont="1" applyFill="1" applyBorder="1"/>
    <xf numFmtId="1" fontId="10" fillId="0" borderId="27" xfId="0" applyNumberFormat="1" applyFont="1" applyFill="1" applyBorder="1"/>
    <xf numFmtId="0" fontId="23" fillId="0" borderId="27" xfId="0" applyFont="1" applyFill="1" applyBorder="1"/>
    <xf numFmtId="1" fontId="23" fillId="0" borderId="27" xfId="0" applyNumberFormat="1" applyFont="1" applyFill="1" applyBorder="1"/>
    <xf numFmtId="1" fontId="10" fillId="0" borderId="28" xfId="0" applyNumberFormat="1" applyFont="1" applyFill="1" applyBorder="1"/>
    <xf numFmtId="1" fontId="10" fillId="6" borderId="29" xfId="0" applyNumberFormat="1" applyFont="1" applyFill="1" applyBorder="1"/>
    <xf numFmtId="1" fontId="23" fillId="0" borderId="27" xfId="0" applyNumberFormat="1" applyFont="1" applyFill="1" applyBorder="1" applyAlignment="1"/>
    <xf numFmtId="1" fontId="10" fillId="7" borderId="27" xfId="0" applyNumberFormat="1" applyFont="1" applyFill="1" applyBorder="1" applyAlignment="1"/>
    <xf numFmtId="1" fontId="10" fillId="6" borderId="29" xfId="0" applyNumberFormat="1" applyFont="1" applyFill="1" applyBorder="1" applyAlignment="1">
      <alignment wrapText="1"/>
    </xf>
    <xf numFmtId="1" fontId="10" fillId="7" borderId="30" xfId="0" applyNumberFormat="1" applyFont="1" applyFill="1" applyBorder="1" applyAlignment="1">
      <alignment wrapText="1"/>
    </xf>
    <xf numFmtId="0" fontId="23" fillId="0" borderId="27" xfId="0" applyFont="1" applyBorder="1" applyAlignment="1"/>
    <xf numFmtId="0" fontId="7" fillId="6" borderId="28" xfId="0" applyFont="1" applyFill="1" applyBorder="1"/>
    <xf numFmtId="0" fontId="7" fillId="7" borderId="27" xfId="0" applyFont="1" applyFill="1" applyBorder="1"/>
    <xf numFmtId="0" fontId="7" fillId="7" borderId="28" xfId="0" applyFont="1" applyFill="1" applyBorder="1"/>
    <xf numFmtId="1" fontId="9" fillId="6" borderId="29" xfId="0" applyNumberFormat="1" applyFont="1" applyFill="1" applyBorder="1"/>
    <xf numFmtId="0" fontId="9" fillId="0" borderId="0" xfId="0" applyFont="1" applyFill="1" applyAlignment="1"/>
    <xf numFmtId="0" fontId="2" fillId="0" borderId="37" xfId="0" applyFont="1" applyFill="1" applyBorder="1" applyAlignment="1">
      <alignment horizontal="center" vertical="center" wrapText="1"/>
    </xf>
    <xf numFmtId="0" fontId="6" fillId="0" borderId="18" xfId="0" applyFont="1" applyFill="1" applyBorder="1" applyAlignment="1">
      <alignment vertical="center" wrapText="1"/>
    </xf>
    <xf numFmtId="1" fontId="10" fillId="7" borderId="38" xfId="0" applyNumberFormat="1" applyFont="1" applyFill="1" applyBorder="1" applyAlignment="1"/>
    <xf numFmtId="1" fontId="12" fillId="7" borderId="18" xfId="0" applyNumberFormat="1" applyFont="1" applyFill="1" applyBorder="1" applyAlignment="1"/>
    <xf numFmtId="0" fontId="22" fillId="0" borderId="37" xfId="0" applyFont="1" applyBorder="1" applyAlignment="1">
      <alignment horizontal="center" vertical="center" wrapText="1"/>
    </xf>
    <xf numFmtId="2" fontId="14" fillId="0" borderId="20" xfId="1" applyNumberFormat="1" applyFont="1" applyFill="1" applyBorder="1" applyAlignment="1">
      <alignment horizontal="center" vertical="center" wrapText="1"/>
    </xf>
    <xf numFmtId="2" fontId="14" fillId="0" borderId="9" xfId="1" applyNumberFormat="1" applyFont="1" applyFill="1" applyBorder="1" applyAlignment="1">
      <alignment horizontal="center" vertical="center" wrapText="1"/>
    </xf>
    <xf numFmtId="2" fontId="14" fillId="0" borderId="53" xfId="1" applyNumberFormat="1" applyFont="1" applyFill="1" applyBorder="1" applyAlignment="1">
      <alignment horizontal="center" vertical="center" wrapText="1"/>
    </xf>
    <xf numFmtId="0" fontId="14" fillId="0" borderId="54" xfId="1" applyNumberFormat="1" applyFont="1" applyFill="1" applyBorder="1" applyAlignment="1">
      <alignment horizontal="center" vertical="center" wrapText="1"/>
    </xf>
    <xf numFmtId="2" fontId="14" fillId="0" borderId="5" xfId="1" applyNumberFormat="1" applyFont="1" applyFill="1" applyBorder="1" applyAlignment="1">
      <alignment horizontal="center" vertical="center" wrapText="1"/>
    </xf>
    <xf numFmtId="0" fontId="14" fillId="0" borderId="55" xfId="1" applyNumberFormat="1" applyFont="1" applyFill="1" applyBorder="1" applyAlignment="1">
      <alignment horizontal="center" vertical="center" wrapText="1"/>
    </xf>
    <xf numFmtId="0" fontId="6" fillId="0" borderId="5" xfId="0" applyFont="1" applyBorder="1" applyAlignment="1">
      <alignment horizontal="center"/>
    </xf>
    <xf numFmtId="0" fontId="6" fillId="0" borderId="55" xfId="0" applyFont="1" applyBorder="1"/>
    <xf numFmtId="0" fontId="6" fillId="0" borderId="20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41" xfId="0" applyFont="1" applyBorder="1"/>
    <xf numFmtId="0" fontId="6" fillId="0" borderId="45" xfId="0" applyFont="1" applyBorder="1"/>
    <xf numFmtId="0" fontId="0" fillId="0" borderId="45" xfId="0" applyBorder="1"/>
    <xf numFmtId="0" fontId="31" fillId="0" borderId="18" xfId="0" applyFont="1" applyFill="1" applyBorder="1" applyAlignment="1">
      <alignment horizontal="left" vertical="center" wrapText="1"/>
    </xf>
    <xf numFmtId="0" fontId="31" fillId="0" borderId="34" xfId="0" applyFont="1" applyFill="1" applyBorder="1" applyAlignment="1">
      <alignment horizontal="left" vertical="center" wrapText="1"/>
    </xf>
    <xf numFmtId="0" fontId="30" fillId="0" borderId="16" xfId="1" applyBorder="1"/>
    <xf numFmtId="0" fontId="30" fillId="0" borderId="13" xfId="1" applyBorder="1"/>
    <xf numFmtId="0" fontId="30" fillId="0" borderId="53" xfId="1" applyBorder="1"/>
    <xf numFmtId="0" fontId="30" fillId="0" borderId="54" xfId="1" applyBorder="1"/>
    <xf numFmtId="0" fontId="31" fillId="0" borderId="41" xfId="0" applyFont="1" applyFill="1" applyBorder="1" applyAlignment="1">
      <alignment horizontal="left" vertical="center" wrapText="1"/>
    </xf>
    <xf numFmtId="3" fontId="31" fillId="0" borderId="10" xfId="0" applyNumberFormat="1" applyFont="1" applyFill="1" applyBorder="1" applyAlignment="1">
      <alignment horizontal="left" vertical="center" wrapText="1"/>
    </xf>
    <xf numFmtId="3" fontId="30" fillId="0" borderId="20" xfId="1" applyNumberFormat="1" applyBorder="1"/>
    <xf numFmtId="3" fontId="30" fillId="0" borderId="9" xfId="1" applyNumberFormat="1" applyBorder="1"/>
    <xf numFmtId="3" fontId="30" fillId="0" borderId="5" xfId="1" applyNumberFormat="1" applyBorder="1"/>
    <xf numFmtId="3" fontId="30" fillId="0" borderId="55" xfId="1" applyNumberFormat="1" applyBorder="1"/>
    <xf numFmtId="3" fontId="0" fillId="0" borderId="5" xfId="0" applyNumberFormat="1" applyBorder="1"/>
    <xf numFmtId="3" fontId="0" fillId="0" borderId="20" xfId="0" applyNumberFormat="1" applyBorder="1"/>
    <xf numFmtId="3" fontId="0" fillId="0" borderId="41" xfId="0" applyNumberFormat="1" applyBorder="1"/>
    <xf numFmtId="3" fontId="0" fillId="0" borderId="55" xfId="0" applyNumberFormat="1" applyBorder="1"/>
    <xf numFmtId="3" fontId="0" fillId="0" borderId="9" xfId="0" applyNumberFormat="1" applyBorder="1"/>
    <xf numFmtId="3" fontId="0" fillId="0" borderId="10" xfId="0" applyNumberFormat="1" applyBorder="1"/>
    <xf numFmtId="0" fontId="31" fillId="0" borderId="15" xfId="0" applyFont="1" applyFill="1" applyBorder="1" applyAlignment="1">
      <alignment horizontal="left" vertical="center" wrapText="1"/>
    </xf>
    <xf numFmtId="3" fontId="0" fillId="0" borderId="26" xfId="0" applyNumberFormat="1" applyBorder="1"/>
    <xf numFmtId="3" fontId="0" fillId="0" borderId="24" xfId="0" applyNumberFormat="1" applyBorder="1"/>
    <xf numFmtId="3" fontId="0" fillId="0" borderId="56" xfId="0" applyNumberFormat="1" applyBorder="1"/>
    <xf numFmtId="3" fontId="0" fillId="0" borderId="12" xfId="0" applyNumberFormat="1" applyBorder="1"/>
    <xf numFmtId="3" fontId="0" fillId="0" borderId="15" xfId="0" applyNumberFormat="1" applyBorder="1"/>
    <xf numFmtId="3" fontId="0" fillId="0" borderId="25" xfId="0" applyNumberFormat="1" applyBorder="1"/>
    <xf numFmtId="3" fontId="31" fillId="0" borderId="57" xfId="0" applyNumberFormat="1" applyFont="1" applyFill="1" applyBorder="1" applyAlignment="1">
      <alignment horizontal="center" vertical="center" wrapText="1"/>
    </xf>
    <xf numFmtId="3" fontId="31" fillId="0" borderId="6" xfId="0" applyNumberFormat="1" applyFont="1" applyFill="1" applyBorder="1" applyAlignment="1">
      <alignment horizontal="center" vertical="center" wrapText="1"/>
    </xf>
    <xf numFmtId="3" fontId="31" fillId="0" borderId="58" xfId="0" applyNumberFormat="1" applyFont="1" applyFill="1" applyBorder="1" applyAlignment="1">
      <alignment horizontal="center" vertical="center" wrapText="1"/>
    </xf>
    <xf numFmtId="1" fontId="0" fillId="0" borderId="0" xfId="0" applyNumberFormat="1"/>
    <xf numFmtId="0" fontId="6" fillId="0" borderId="9" xfId="0" applyFont="1" applyBorder="1"/>
    <xf numFmtId="0" fontId="6" fillId="0" borderId="1" xfId="0" applyFont="1" applyBorder="1"/>
    <xf numFmtId="0" fontId="6" fillId="0" borderId="42" xfId="0" applyFont="1" applyBorder="1"/>
    <xf numFmtId="0" fontId="6" fillId="0" borderId="5" xfId="0" applyFont="1" applyBorder="1"/>
    <xf numFmtId="0" fontId="6" fillId="0" borderId="53" xfId="0" applyFont="1" applyBorder="1"/>
    <xf numFmtId="0" fontId="6" fillId="0" borderId="54" xfId="0" applyFont="1" applyBorder="1"/>
    <xf numFmtId="0" fontId="6" fillId="0" borderId="16" xfId="0" applyFont="1" applyBorder="1"/>
    <xf numFmtId="3" fontId="31" fillId="0" borderId="59" xfId="0" applyNumberFormat="1" applyFont="1" applyFill="1" applyBorder="1" applyAlignment="1">
      <alignment horizontal="center" vertical="center" wrapText="1"/>
    </xf>
    <xf numFmtId="0" fontId="6" fillId="0" borderId="34" xfId="0" applyFont="1" applyBorder="1"/>
    <xf numFmtId="3" fontId="30" fillId="0" borderId="10" xfId="1" applyNumberFormat="1" applyBorder="1"/>
    <xf numFmtId="0" fontId="6" fillId="6" borderId="0" xfId="0" applyFont="1" applyFill="1" applyBorder="1" applyAlignment="1">
      <alignment vertical="center" wrapText="1"/>
    </xf>
    <xf numFmtId="1" fontId="12" fillId="6" borderId="41" xfId="0" applyNumberFormat="1" applyFont="1" applyFill="1" applyBorder="1" applyAlignment="1">
      <alignment wrapText="1"/>
    </xf>
    <xf numFmtId="0" fontId="6" fillId="6" borderId="39" xfId="0" applyFont="1" applyFill="1" applyBorder="1" applyAlignment="1">
      <alignment vertical="center" wrapText="1"/>
    </xf>
    <xf numFmtId="0" fontId="6" fillId="6" borderId="34" xfId="0" applyFont="1" applyFill="1" applyBorder="1" applyAlignment="1">
      <alignment vertical="center" wrapText="1"/>
    </xf>
    <xf numFmtId="0" fontId="6" fillId="6" borderId="45" xfId="0" applyFont="1" applyFill="1" applyBorder="1" applyAlignment="1">
      <alignment vertical="center" wrapText="1"/>
    </xf>
    <xf numFmtId="3" fontId="31" fillId="0" borderId="15" xfId="0" applyNumberFormat="1" applyFont="1" applyFill="1" applyBorder="1" applyAlignment="1">
      <alignment horizontal="center" vertical="center" wrapText="1"/>
    </xf>
    <xf numFmtId="3" fontId="31" fillId="0" borderId="26" xfId="0" applyNumberFormat="1" applyFont="1" applyFill="1" applyBorder="1" applyAlignment="1">
      <alignment horizontal="center" vertical="center" wrapText="1"/>
    </xf>
    <xf numFmtId="3" fontId="31" fillId="0" borderId="12" xfId="0" applyNumberFormat="1" applyFont="1" applyFill="1" applyBorder="1" applyAlignment="1">
      <alignment horizontal="center" vertical="center" wrapText="1"/>
    </xf>
    <xf numFmtId="3" fontId="31" fillId="0" borderId="8" xfId="0" applyNumberFormat="1" applyFont="1" applyFill="1" applyBorder="1" applyAlignment="1">
      <alignment horizontal="center" vertical="center" wrapText="1"/>
    </xf>
    <xf numFmtId="3" fontId="0" fillId="0" borderId="49" xfId="0" applyNumberFormat="1" applyBorder="1"/>
    <xf numFmtId="3" fontId="0" fillId="0" borderId="19" xfId="0" applyNumberFormat="1" applyBorder="1"/>
    <xf numFmtId="3" fontId="0" fillId="0" borderId="60" xfId="0" applyNumberFormat="1" applyBorder="1"/>
    <xf numFmtId="3" fontId="31" fillId="0" borderId="21" xfId="0" applyNumberFormat="1" applyFont="1" applyFill="1" applyBorder="1" applyAlignment="1">
      <alignment horizontal="center" vertical="center" wrapText="1"/>
    </xf>
    <xf numFmtId="1" fontId="0" fillId="0" borderId="4" xfId="0" applyNumberFormat="1" applyBorder="1"/>
    <xf numFmtId="1" fontId="31" fillId="0" borderId="4" xfId="0" applyNumberFormat="1" applyFont="1" applyFill="1" applyBorder="1" applyAlignment="1">
      <alignment horizontal="center" vertical="center" wrapText="1"/>
    </xf>
    <xf numFmtId="1" fontId="12" fillId="6" borderId="18" xfId="0" applyNumberFormat="1" applyFont="1" applyFill="1" applyBorder="1" applyAlignment="1">
      <alignment wrapText="1"/>
    </xf>
    <xf numFmtId="1" fontId="12" fillId="6" borderId="57" xfId="0" applyNumberFormat="1" applyFont="1" applyFill="1" applyBorder="1" applyAlignment="1">
      <alignment wrapText="1"/>
    </xf>
    <xf numFmtId="0" fontId="1" fillId="0" borderId="53" xfId="1" applyFont="1" applyBorder="1"/>
    <xf numFmtId="3" fontId="30" fillId="0" borderId="4" xfId="1" applyNumberFormat="1" applyBorder="1"/>
    <xf numFmtId="3" fontId="0" fillId="0" borderId="4" xfId="0" applyNumberFormat="1" applyBorder="1"/>
    <xf numFmtId="2" fontId="14" fillId="0" borderId="13" xfId="1" applyNumberFormat="1" applyFont="1" applyFill="1" applyBorder="1" applyAlignment="1">
      <alignment horizontal="center" vertical="center" wrapText="1"/>
    </xf>
    <xf numFmtId="0" fontId="22" fillId="0" borderId="44" xfId="0" applyFont="1" applyBorder="1" applyAlignment="1">
      <alignment horizontal="center" vertical="center" wrapText="1"/>
    </xf>
    <xf numFmtId="0" fontId="6" fillId="0" borderId="44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166" fontId="0" fillId="0" borderId="0" xfId="0" applyNumberFormat="1"/>
    <xf numFmtId="0" fontId="0" fillId="0" borderId="14" xfId="0" applyBorder="1"/>
    <xf numFmtId="167" fontId="0" fillId="0" borderId="15" xfId="0" applyNumberFormat="1" applyBorder="1"/>
    <xf numFmtId="0" fontId="9" fillId="0" borderId="0" xfId="0" applyFont="1" applyBorder="1" applyAlignment="1">
      <alignment horizontal="center"/>
    </xf>
    <xf numFmtId="0" fontId="22" fillId="0" borderId="4" xfId="1" applyFont="1" applyFill="1" applyBorder="1" applyAlignment="1">
      <alignment horizontal="center" vertical="center" wrapText="1"/>
    </xf>
    <xf numFmtId="0" fontId="14" fillId="0" borderId="4" xfId="1" applyNumberFormat="1" applyFont="1" applyFill="1" applyBorder="1" applyAlignment="1">
      <alignment horizontal="center" vertical="center" wrapText="1"/>
    </xf>
    <xf numFmtId="168" fontId="14" fillId="0" borderId="4" xfId="1" applyNumberFormat="1" applyFont="1" applyFill="1" applyBorder="1" applyAlignment="1">
      <alignment horizontal="center" vertical="center" wrapText="1"/>
    </xf>
    <xf numFmtId="4" fontId="30" fillId="0" borderId="9" xfId="1" applyNumberFormat="1" applyBorder="1"/>
    <xf numFmtId="4" fontId="0" fillId="0" borderId="12" xfId="0" applyNumberFormat="1" applyBorder="1"/>
    <xf numFmtId="170" fontId="22" fillId="0" borderId="4" xfId="2" applyNumberFormat="1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vertical="center" wrapText="1"/>
    </xf>
    <xf numFmtId="0" fontId="6" fillId="0" borderId="50" xfId="0" applyFont="1" applyFill="1" applyBorder="1" applyAlignment="1">
      <alignment horizontal="center" vertical="center" wrapText="1"/>
    </xf>
    <xf numFmtId="0" fontId="6" fillId="0" borderId="55" xfId="0" applyFont="1" applyBorder="1" applyAlignment="1">
      <alignment horizontal="center" vertical="center"/>
    </xf>
    <xf numFmtId="3" fontId="0" fillId="0" borderId="5" xfId="0" applyNumberFormat="1" applyBorder="1" applyAlignment="1"/>
    <xf numFmtId="0" fontId="0" fillId="0" borderId="61" xfId="0" applyBorder="1"/>
    <xf numFmtId="0" fontId="0" fillId="0" borderId="9" xfId="0" applyBorder="1"/>
    <xf numFmtId="1" fontId="0" fillId="0" borderId="9" xfId="0" applyNumberFormat="1" applyBorder="1"/>
    <xf numFmtId="170" fontId="6" fillId="0" borderId="10" xfId="2" applyNumberFormat="1" applyFont="1" applyBorder="1" applyAlignment="1">
      <alignment horizontal="left"/>
    </xf>
    <xf numFmtId="170" fontId="6" fillId="0" borderId="25" xfId="2" applyNumberFormat="1" applyFont="1" applyBorder="1" applyAlignment="1">
      <alignment horizontal="left"/>
    </xf>
    <xf numFmtId="0" fontId="22" fillId="0" borderId="29" xfId="0" applyFont="1" applyBorder="1" applyAlignment="1">
      <alignment horizontal="center" vertical="center" wrapText="1"/>
    </xf>
    <xf numFmtId="0" fontId="22" fillId="0" borderId="39" xfId="0" applyFont="1" applyBorder="1" applyAlignment="1">
      <alignment horizontal="center" vertical="center" wrapText="1"/>
    </xf>
    <xf numFmtId="0" fontId="6" fillId="0" borderId="10" xfId="0" applyFont="1" applyBorder="1"/>
    <xf numFmtId="3" fontId="6" fillId="0" borderId="10" xfId="0" applyNumberFormat="1" applyFont="1" applyBorder="1"/>
    <xf numFmtId="3" fontId="6" fillId="0" borderId="25" xfId="0" applyNumberFormat="1" applyFont="1" applyBorder="1"/>
    <xf numFmtId="0" fontId="22" fillId="0" borderId="29" xfId="0" applyFont="1" applyFill="1" applyBorder="1" applyAlignment="1">
      <alignment horizontal="center" vertical="center" wrapText="1"/>
    </xf>
    <xf numFmtId="0" fontId="9" fillId="0" borderId="4" xfId="0" applyFont="1" applyBorder="1" applyAlignment="1"/>
    <xf numFmtId="0" fontId="7" fillId="10" borderId="4" xfId="0" applyFont="1" applyFill="1" applyBorder="1" applyAlignment="1"/>
    <xf numFmtId="0" fontId="9" fillId="10" borderId="4" xfId="0" applyFont="1" applyFill="1" applyBorder="1" applyAlignment="1"/>
    <xf numFmtId="0" fontId="9" fillId="10" borderId="3" xfId="0" applyFont="1" applyFill="1" applyBorder="1" applyAlignment="1"/>
    <xf numFmtId="1" fontId="14" fillId="0" borderId="19" xfId="0" applyNumberFormat="1" applyFont="1" applyFill="1" applyBorder="1"/>
    <xf numFmtId="0" fontId="31" fillId="0" borderId="18" xfId="0" applyFont="1" applyFill="1" applyBorder="1" applyAlignment="1">
      <alignment horizontal="left" vertical="center"/>
    </xf>
    <xf numFmtId="0" fontId="31" fillId="0" borderId="34" xfId="0" applyFont="1" applyFill="1" applyBorder="1" applyAlignment="1">
      <alignment horizontal="left" vertical="center"/>
    </xf>
    <xf numFmtId="0" fontId="0" fillId="0" borderId="0" xfId="0" applyAlignment="1"/>
    <xf numFmtId="0" fontId="7" fillId="10" borderId="5" xfId="0" applyFont="1" applyFill="1" applyBorder="1" applyAlignment="1"/>
    <xf numFmtId="0" fontId="2" fillId="10" borderId="55" xfId="0" applyFont="1" applyFill="1" applyBorder="1" applyAlignment="1"/>
    <xf numFmtId="0" fontId="9" fillId="0" borderId="5" xfId="0" applyFont="1" applyBorder="1" applyAlignment="1"/>
    <xf numFmtId="0" fontId="9" fillId="0" borderId="55" xfId="0" applyFont="1" applyBorder="1" applyAlignment="1"/>
    <xf numFmtId="0" fontId="9" fillId="10" borderId="5" xfId="0" applyFont="1" applyFill="1" applyBorder="1" applyAlignment="1"/>
    <xf numFmtId="0" fontId="9" fillId="10" borderId="55" xfId="0" applyFont="1" applyFill="1" applyBorder="1" applyAlignment="1"/>
    <xf numFmtId="0" fontId="9" fillId="10" borderId="24" xfId="0" applyFont="1" applyFill="1" applyBorder="1" applyAlignment="1"/>
    <xf numFmtId="0" fontId="9" fillId="10" borderId="56" xfId="0" applyFont="1" applyFill="1" applyBorder="1" applyAlignment="1"/>
    <xf numFmtId="49" fontId="6" fillId="12" borderId="1" xfId="0" applyNumberFormat="1" applyFont="1" applyFill="1" applyBorder="1" applyAlignment="1">
      <alignment horizontal="center" vertical="center"/>
    </xf>
    <xf numFmtId="49" fontId="6" fillId="12" borderId="2" xfId="0" applyNumberFormat="1" applyFont="1" applyFill="1" applyBorder="1" applyAlignment="1">
      <alignment horizontal="center" vertical="center"/>
    </xf>
    <xf numFmtId="49" fontId="6" fillId="12" borderId="63" xfId="0" applyNumberFormat="1" applyFont="1" applyFill="1" applyBorder="1" applyAlignment="1">
      <alignment horizontal="center" vertical="center"/>
    </xf>
    <xf numFmtId="0" fontId="33" fillId="0" borderId="15" xfId="0" applyFont="1" applyFill="1" applyBorder="1" applyAlignment="1">
      <alignment horizontal="left" vertical="center" wrapText="1"/>
    </xf>
    <xf numFmtId="3" fontId="33" fillId="0" borderId="26" xfId="0" applyNumberFormat="1" applyFont="1" applyFill="1" applyBorder="1" applyAlignment="1">
      <alignment horizontal="center" vertical="center" wrapText="1"/>
    </xf>
    <xf numFmtId="3" fontId="33" fillId="0" borderId="12" xfId="0" applyNumberFormat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  <xf numFmtId="0" fontId="0" fillId="0" borderId="0" xfId="0" applyFill="1"/>
    <xf numFmtId="0" fontId="9" fillId="0" borderId="0" xfId="0" applyFont="1" applyFill="1"/>
    <xf numFmtId="3" fontId="33" fillId="0" borderId="25" xfId="0" applyNumberFormat="1" applyFont="1" applyFill="1" applyBorder="1" applyAlignment="1">
      <alignment horizontal="center" vertical="center" wrapText="1"/>
    </xf>
    <xf numFmtId="169" fontId="33" fillId="0" borderId="12" xfId="0" applyNumberFormat="1" applyFont="1" applyFill="1" applyBorder="1" applyAlignment="1">
      <alignment horizontal="center" vertical="center" wrapText="1"/>
    </xf>
    <xf numFmtId="169" fontId="33" fillId="0" borderId="3" xfId="0" applyNumberFormat="1" applyFont="1" applyFill="1" applyBorder="1" applyAlignment="1">
      <alignment horizontal="center" vertical="center" wrapText="1"/>
    </xf>
    <xf numFmtId="3" fontId="33" fillId="0" borderId="3" xfId="0" applyNumberFormat="1" applyFont="1" applyFill="1" applyBorder="1" applyAlignment="1">
      <alignment horizontal="center" vertical="center" wrapText="1"/>
    </xf>
    <xf numFmtId="3" fontId="33" fillId="0" borderId="56" xfId="0" applyNumberFormat="1" applyFont="1" applyFill="1" applyBorder="1" applyAlignment="1">
      <alignment horizontal="center" vertical="center" wrapText="1"/>
    </xf>
    <xf numFmtId="3" fontId="33" fillId="0" borderId="24" xfId="0" applyNumberFormat="1" applyFont="1" applyFill="1" applyBorder="1" applyAlignment="1">
      <alignment horizontal="center" vertical="center" wrapText="1"/>
    </xf>
    <xf numFmtId="1" fontId="0" fillId="0" borderId="12" xfId="0" applyNumberFormat="1" applyBorder="1"/>
    <xf numFmtId="170" fontId="34" fillId="0" borderId="25" xfId="0" applyNumberFormat="1" applyFont="1" applyBorder="1" applyAlignment="1">
      <alignment horizontal="left"/>
    </xf>
    <xf numFmtId="3" fontId="35" fillId="0" borderId="25" xfId="0" applyNumberFormat="1" applyFont="1" applyFill="1" applyBorder="1" applyAlignment="1">
      <alignment horizontal="center" vertical="center" wrapText="1"/>
    </xf>
    <xf numFmtId="0" fontId="14" fillId="0" borderId="64" xfId="0" applyFont="1" applyBorder="1" applyAlignment="1"/>
    <xf numFmtId="0" fontId="14" fillId="0" borderId="65" xfId="0" applyFont="1" applyBorder="1" applyAlignment="1"/>
    <xf numFmtId="0" fontId="14" fillId="0" borderId="66" xfId="0" applyFont="1" applyBorder="1" applyAlignment="1"/>
    <xf numFmtId="1" fontId="14" fillId="0" borderId="60" xfId="0" applyNumberFormat="1" applyFont="1" applyFill="1" applyBorder="1"/>
    <xf numFmtId="0" fontId="0" fillId="0" borderId="4" xfId="0" applyBorder="1"/>
    <xf numFmtId="170" fontId="0" fillId="0" borderId="4" xfId="2" applyNumberFormat="1" applyFont="1" applyBorder="1"/>
    <xf numFmtId="170" fontId="0" fillId="0" borderId="0" xfId="0" applyNumberFormat="1" applyFill="1"/>
    <xf numFmtId="164" fontId="6" fillId="11" borderId="19" xfId="2" applyNumberFormat="1" applyFont="1" applyFill="1" applyBorder="1"/>
    <xf numFmtId="164" fontId="6" fillId="11" borderId="60" xfId="2" applyNumberFormat="1" applyFont="1" applyFill="1" applyBorder="1"/>
    <xf numFmtId="170" fontId="22" fillId="13" borderId="10" xfId="2" applyNumberFormat="1" applyFont="1" applyFill="1" applyBorder="1"/>
    <xf numFmtId="170" fontId="22" fillId="13" borderId="57" xfId="2" applyNumberFormat="1" applyFont="1" applyFill="1" applyBorder="1" applyAlignment="1"/>
    <xf numFmtId="0" fontId="9" fillId="0" borderId="4" xfId="0" applyFont="1" applyFill="1" applyBorder="1" applyAlignment="1"/>
    <xf numFmtId="170" fontId="22" fillId="0" borderId="4" xfId="2" applyNumberFormat="1" applyFont="1" applyFill="1" applyBorder="1"/>
    <xf numFmtId="3" fontId="36" fillId="0" borderId="5" xfId="1" applyNumberFormat="1" applyFont="1" applyBorder="1"/>
    <xf numFmtId="4" fontId="36" fillId="0" borderId="9" xfId="1" applyNumberFormat="1" applyFont="1" applyBorder="1"/>
    <xf numFmtId="3" fontId="36" fillId="0" borderId="4" xfId="1" applyNumberFormat="1" applyFont="1" applyBorder="1"/>
    <xf numFmtId="3" fontId="36" fillId="0" borderId="20" xfId="1" applyNumberFormat="1" applyFont="1" applyBorder="1"/>
    <xf numFmtId="3" fontId="36" fillId="0" borderId="55" xfId="1" applyNumberFormat="1" applyFont="1" applyBorder="1"/>
    <xf numFmtId="4" fontId="36" fillId="0" borderId="4" xfId="1" applyNumberFormat="1" applyFont="1" applyBorder="1"/>
    <xf numFmtId="3" fontId="9" fillId="0" borderId="5" xfId="0" applyNumberFormat="1" applyFont="1" applyBorder="1"/>
    <xf numFmtId="3" fontId="22" fillId="0" borderId="4" xfId="0" applyNumberFormat="1" applyFont="1" applyBorder="1" applyAlignment="1">
      <alignment horizontal="center" vertical="center"/>
    </xf>
    <xf numFmtId="0" fontId="9" fillId="0" borderId="0" xfId="0" applyFont="1"/>
    <xf numFmtId="0" fontId="7" fillId="0" borderId="12" xfId="0" applyFont="1" applyFill="1" applyBorder="1" applyAlignment="1">
      <alignment horizontal="center" vertical="center" wrapText="1"/>
    </xf>
    <xf numFmtId="0" fontId="7" fillId="0" borderId="26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0" fontId="2" fillId="0" borderId="42" xfId="0" applyFont="1" applyFill="1" applyBorder="1" applyAlignment="1">
      <alignment horizontal="center" vertical="center" wrapText="1"/>
    </xf>
    <xf numFmtId="0" fontId="2" fillId="0" borderId="4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6" fillId="6" borderId="39" xfId="0" applyFont="1" applyFill="1" applyBorder="1" applyAlignment="1">
      <alignment vertical="center" wrapText="1"/>
    </xf>
    <xf numFmtId="0" fontId="6" fillId="6" borderId="45" xfId="0" applyFont="1" applyFill="1" applyBorder="1" applyAlignment="1">
      <alignment vertical="center" wrapText="1"/>
    </xf>
    <xf numFmtId="0" fontId="6" fillId="6" borderId="34" xfId="0" applyFont="1" applyFill="1" applyBorder="1" applyAlignment="1">
      <alignment vertical="center" wrapText="1"/>
    </xf>
    <xf numFmtId="0" fontId="9" fillId="0" borderId="12" xfId="0" applyFont="1" applyFill="1" applyBorder="1" applyAlignment="1">
      <alignment horizontal="center" vertical="center" wrapText="1"/>
    </xf>
    <xf numFmtId="0" fontId="9" fillId="0" borderId="26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9" fillId="0" borderId="16" xfId="0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 wrapText="1"/>
    </xf>
    <xf numFmtId="0" fontId="9" fillId="0" borderId="18" xfId="0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1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9" fillId="6" borderId="44" xfId="0" applyFont="1" applyFill="1" applyBorder="1" applyAlignment="1">
      <alignment wrapText="1"/>
    </xf>
    <xf numFmtId="0" fontId="9" fillId="6" borderId="10" xfId="0" applyFont="1" applyFill="1" applyBorder="1" applyAlignment="1">
      <alignment wrapText="1"/>
    </xf>
    <xf numFmtId="0" fontId="7" fillId="0" borderId="20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9" fillId="0" borderId="12" xfId="0" applyFont="1" applyFill="1" applyBorder="1" applyAlignment="1">
      <alignment vertical="center" wrapText="1"/>
    </xf>
    <xf numFmtId="0" fontId="9" fillId="0" borderId="26" xfId="0" applyFont="1" applyFill="1" applyBorder="1" applyAlignment="1">
      <alignment vertical="center" wrapText="1"/>
    </xf>
    <xf numFmtId="0" fontId="9" fillId="0" borderId="13" xfId="0" applyFont="1" applyFill="1" applyBorder="1" applyAlignment="1">
      <alignment vertical="center" wrapText="1"/>
    </xf>
    <xf numFmtId="0" fontId="9" fillId="0" borderId="16" xfId="0" applyFont="1" applyFill="1" applyBorder="1" applyAlignment="1">
      <alignment vertical="center" wrapText="1"/>
    </xf>
    <xf numFmtId="0" fontId="9" fillId="0" borderId="3" xfId="0" applyFont="1" applyFill="1" applyBorder="1" applyAlignment="1">
      <alignment vertical="center" wrapText="1"/>
    </xf>
    <xf numFmtId="0" fontId="9" fillId="0" borderId="17" xfId="0" applyFont="1" applyFill="1" applyBorder="1" applyAlignment="1">
      <alignment vertical="center" wrapText="1"/>
    </xf>
    <xf numFmtId="0" fontId="9" fillId="0" borderId="14" xfId="0" applyFont="1" applyFill="1" applyBorder="1" applyAlignment="1">
      <alignment vertical="center" wrapText="1"/>
    </xf>
    <xf numFmtId="0" fontId="9" fillId="0" borderId="15" xfId="0" applyFont="1" applyFill="1" applyBorder="1" applyAlignment="1">
      <alignment vertical="center" wrapText="1"/>
    </xf>
    <xf numFmtId="0" fontId="9" fillId="0" borderId="18" xfId="0" applyFont="1" applyFill="1" applyBorder="1" applyAlignment="1">
      <alignment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2" fillId="0" borderId="0" xfId="0" applyFont="1"/>
    <xf numFmtId="0" fontId="21" fillId="0" borderId="0" xfId="0" applyFont="1" applyAlignment="1">
      <alignment horizontal="right" wrapText="1"/>
    </xf>
    <xf numFmtId="0" fontId="17" fillId="0" borderId="0" xfId="0" applyFont="1" applyFill="1" applyBorder="1"/>
    <xf numFmtId="0" fontId="17" fillId="0" borderId="0" xfId="0" applyFont="1"/>
    <xf numFmtId="0" fontId="18" fillId="0" borderId="0" xfId="0" applyFont="1" applyAlignment="1">
      <alignment horizontal="left"/>
    </xf>
    <xf numFmtId="0" fontId="12" fillId="0" borderId="36" xfId="0" applyFont="1" applyFill="1" applyBorder="1" applyAlignment="1">
      <alignment horizontal="center"/>
    </xf>
    <xf numFmtId="0" fontId="12" fillId="0" borderId="27" xfId="0" applyFont="1" applyFill="1" applyBorder="1" applyAlignment="1">
      <alignment horizontal="center"/>
    </xf>
    <xf numFmtId="0" fontId="18" fillId="0" borderId="0" xfId="0" applyFont="1"/>
    <xf numFmtId="0" fontId="3" fillId="0" borderId="4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vertical="center" wrapText="1"/>
    </xf>
    <xf numFmtId="0" fontId="6" fillId="6" borderId="40" xfId="0" applyFont="1" applyFill="1" applyBorder="1" applyAlignment="1">
      <alignment vertical="center" wrapText="1"/>
    </xf>
    <xf numFmtId="0" fontId="14" fillId="7" borderId="9" xfId="0" applyFont="1" applyFill="1" applyBorder="1" applyAlignment="1">
      <alignment horizontal="center" vertical="center" wrapText="1"/>
    </xf>
    <xf numFmtId="0" fontId="14" fillId="7" borderId="41" xfId="0" applyFont="1" applyFill="1" applyBorder="1" applyAlignment="1">
      <alignment horizontal="center" vertical="center" wrapText="1"/>
    </xf>
    <xf numFmtId="0" fontId="14" fillId="7" borderId="12" xfId="0" applyFont="1" applyFill="1" applyBorder="1" applyAlignment="1">
      <alignment horizontal="center" vertical="center" wrapText="1"/>
    </xf>
    <xf numFmtId="0" fontId="14" fillId="7" borderId="15" xfId="0" applyFont="1" applyFill="1" applyBorder="1" applyAlignment="1">
      <alignment horizontal="center" vertical="center" wrapText="1"/>
    </xf>
    <xf numFmtId="0" fontId="14" fillId="7" borderId="13" xfId="0" applyFont="1" applyFill="1" applyBorder="1" applyAlignment="1">
      <alignment horizontal="center" vertical="center" wrapText="1"/>
    </xf>
    <xf numFmtId="0" fontId="14" fillId="7" borderId="18" xfId="0" applyFont="1" applyFill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14" fillId="6" borderId="9" xfId="0" applyFont="1" applyFill="1" applyBorder="1" applyAlignment="1">
      <alignment horizontal="center" vertical="center" wrapText="1"/>
    </xf>
    <xf numFmtId="0" fontId="18" fillId="0" borderId="0" xfId="0" applyFont="1" applyFill="1"/>
    <xf numFmtId="0" fontId="2" fillId="0" borderId="0" xfId="0" applyFont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/>
    </xf>
    <xf numFmtId="0" fontId="12" fillId="3" borderId="4" xfId="0" applyFont="1" applyFill="1" applyBorder="1" applyAlignment="1">
      <alignment horizontal="center"/>
    </xf>
    <xf numFmtId="0" fontId="6" fillId="0" borderId="39" xfId="0" applyFont="1" applyFill="1" applyBorder="1" applyAlignment="1">
      <alignment vertical="center" wrapText="1"/>
    </xf>
    <xf numFmtId="0" fontId="6" fillId="0" borderId="45" xfId="0" applyFont="1" applyFill="1" applyBorder="1" applyAlignment="1">
      <alignment vertical="center" wrapText="1"/>
    </xf>
    <xf numFmtId="0" fontId="6" fillId="0" borderId="34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center" vertical="center" wrapText="1"/>
    </xf>
    <xf numFmtId="4" fontId="26" fillId="5" borderId="9" xfId="0" applyNumberFormat="1" applyFont="1" applyFill="1" applyBorder="1" applyAlignment="1">
      <alignment vertical="center" wrapText="1"/>
    </xf>
    <xf numFmtId="4" fontId="26" fillId="5" borderId="20" xfId="0" applyNumberFormat="1" applyFont="1" applyFill="1" applyBorder="1" applyAlignment="1">
      <alignment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26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vertical="center" wrapText="1"/>
    </xf>
    <xf numFmtId="0" fontId="2" fillId="0" borderId="15" xfId="0" applyFont="1" applyFill="1" applyBorder="1" applyAlignment="1">
      <alignment vertical="center" wrapText="1"/>
    </xf>
    <xf numFmtId="0" fontId="2" fillId="0" borderId="13" xfId="0" applyFont="1" applyFill="1" applyBorder="1" applyAlignment="1">
      <alignment vertical="center" wrapText="1"/>
    </xf>
    <xf numFmtId="0" fontId="2" fillId="0" borderId="18" xfId="0" applyFont="1" applyFill="1" applyBorder="1" applyAlignment="1">
      <alignment vertical="center" wrapText="1"/>
    </xf>
    <xf numFmtId="0" fontId="2" fillId="5" borderId="9" xfId="0" applyFont="1" applyFill="1" applyBorder="1" applyAlignment="1">
      <alignment vertical="center" wrapText="1"/>
    </xf>
    <xf numFmtId="0" fontId="2" fillId="5" borderId="41" xfId="0" applyFont="1" applyFill="1" applyBorder="1" applyAlignment="1">
      <alignment vertical="center" wrapText="1"/>
    </xf>
    <xf numFmtId="0" fontId="2" fillId="5" borderId="20" xfId="0" applyFont="1" applyFill="1" applyBorder="1" applyAlignment="1">
      <alignment vertical="center" wrapText="1"/>
    </xf>
    <xf numFmtId="0" fontId="2" fillId="5" borderId="17" xfId="0" applyFont="1" applyFill="1" applyBorder="1" applyAlignment="1">
      <alignment vertical="center" wrapText="1"/>
    </xf>
    <xf numFmtId="0" fontId="2" fillId="5" borderId="14" xfId="0" applyFont="1" applyFill="1" applyBorder="1" applyAlignment="1">
      <alignment vertical="center" wrapText="1"/>
    </xf>
    <xf numFmtId="0" fontId="2" fillId="0" borderId="4" xfId="0" applyFont="1" applyFill="1" applyBorder="1" applyAlignment="1">
      <alignment vertical="center" wrapText="1"/>
    </xf>
    <xf numFmtId="0" fontId="2" fillId="0" borderId="26" xfId="0" applyFont="1" applyFill="1" applyBorder="1" applyAlignment="1">
      <alignment vertical="center" wrapText="1"/>
    </xf>
    <xf numFmtId="0" fontId="2" fillId="0" borderId="16" xfId="0" applyFont="1" applyFill="1" applyBorder="1" applyAlignment="1">
      <alignment vertical="center" wrapText="1"/>
    </xf>
    <xf numFmtId="0" fontId="2" fillId="0" borderId="3" xfId="0" applyFont="1" applyFill="1" applyBorder="1" applyAlignment="1">
      <alignment vertical="center" wrapText="1"/>
    </xf>
    <xf numFmtId="0" fontId="2" fillId="0" borderId="17" xfId="0" applyFont="1" applyFill="1" applyBorder="1" applyAlignment="1">
      <alignment vertical="center" wrapText="1"/>
    </xf>
    <xf numFmtId="0" fontId="2" fillId="0" borderId="14" xfId="0" applyFont="1" applyFill="1" applyBorder="1" applyAlignment="1">
      <alignment vertical="center" wrapText="1"/>
    </xf>
    <xf numFmtId="0" fontId="6" fillId="0" borderId="46" xfId="0" applyFont="1" applyFill="1" applyBorder="1" applyAlignment="1">
      <alignment vertical="center" wrapText="1"/>
    </xf>
    <xf numFmtId="0" fontId="6" fillId="0" borderId="19" xfId="0" applyFont="1" applyFill="1" applyBorder="1" applyAlignment="1">
      <alignment vertical="center" wrapText="1"/>
    </xf>
    <xf numFmtId="0" fontId="6" fillId="0" borderId="4" xfId="0" applyFont="1" applyFill="1" applyBorder="1" applyAlignment="1">
      <alignment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10" fontId="2" fillId="5" borderId="13" xfId="0" applyNumberFormat="1" applyFont="1" applyFill="1" applyBorder="1" applyAlignment="1">
      <alignment horizontal="center" vertical="center" wrapText="1"/>
    </xf>
    <xf numFmtId="10" fontId="2" fillId="5" borderId="18" xfId="0" applyNumberFormat="1" applyFont="1" applyFill="1" applyBorder="1" applyAlignment="1">
      <alignment horizontal="center" vertical="center" wrapText="1"/>
    </xf>
    <xf numFmtId="10" fontId="2" fillId="5" borderId="16" xfId="0" applyNumberFormat="1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2" fillId="5" borderId="18" xfId="0" applyFont="1" applyFill="1" applyBorder="1" applyAlignment="1">
      <alignment horizontal="center" vertical="center" wrapText="1"/>
    </xf>
    <xf numFmtId="0" fontId="2" fillId="5" borderId="16" xfId="0" applyFont="1" applyFill="1" applyBorder="1" applyAlignment="1">
      <alignment horizontal="center" vertical="center" wrapText="1"/>
    </xf>
    <xf numFmtId="0" fontId="6" fillId="9" borderId="47" xfId="0" applyFont="1" applyFill="1" applyBorder="1" applyAlignment="1">
      <alignment vertical="center" wrapText="1"/>
    </xf>
    <xf numFmtId="0" fontId="6" fillId="9" borderId="48" xfId="0" applyFont="1" applyFill="1" applyBorder="1" applyAlignment="1">
      <alignment vertical="center" wrapText="1"/>
    </xf>
    <xf numFmtId="0" fontId="6" fillId="9" borderId="49" xfId="0" applyFont="1" applyFill="1" applyBorder="1" applyAlignment="1">
      <alignment vertical="center" wrapText="1"/>
    </xf>
    <xf numFmtId="0" fontId="6" fillId="9" borderId="4" xfId="0" applyFont="1" applyFill="1" applyBorder="1" applyAlignment="1">
      <alignment vertical="center" wrapText="1"/>
    </xf>
    <xf numFmtId="0" fontId="6" fillId="0" borderId="47" xfId="0" applyFont="1" applyFill="1" applyBorder="1" applyAlignment="1">
      <alignment vertical="center" wrapText="1"/>
    </xf>
    <xf numFmtId="0" fontId="6" fillId="0" borderId="48" xfId="0" applyFont="1" applyFill="1" applyBorder="1" applyAlignment="1">
      <alignment vertical="center" wrapText="1"/>
    </xf>
    <xf numFmtId="0" fontId="6" fillId="0" borderId="49" xfId="0" applyFont="1" applyFill="1" applyBorder="1" applyAlignment="1">
      <alignment vertical="center" wrapText="1"/>
    </xf>
    <xf numFmtId="16" fontId="22" fillId="0" borderId="46" xfId="1" applyNumberFormat="1" applyFont="1" applyFill="1" applyBorder="1" applyAlignment="1">
      <alignment horizontal="center" vertical="center" wrapText="1"/>
    </xf>
    <xf numFmtId="16" fontId="22" fillId="0" borderId="52" xfId="1" applyNumberFormat="1" applyFont="1" applyFill="1" applyBorder="1" applyAlignment="1">
      <alignment horizontal="center" vertical="center" wrapText="1"/>
    </xf>
    <xf numFmtId="0" fontId="22" fillId="0" borderId="12" xfId="1" applyFont="1" applyFill="1" applyBorder="1" applyAlignment="1">
      <alignment horizontal="center" vertical="center" wrapText="1"/>
    </xf>
    <xf numFmtId="0" fontId="22" fillId="0" borderId="13" xfId="1" applyFont="1" applyFill="1" applyBorder="1" applyAlignment="1">
      <alignment horizontal="center" vertical="center" wrapText="1"/>
    </xf>
    <xf numFmtId="0" fontId="22" fillId="0" borderId="39" xfId="1" applyFont="1" applyFill="1" applyBorder="1" applyAlignment="1">
      <alignment horizontal="center" vertical="center" wrapText="1"/>
    </xf>
    <xf numFmtId="0" fontId="22" fillId="0" borderId="34" xfId="1" applyFont="1" applyFill="1" applyBorder="1" applyAlignment="1">
      <alignment horizontal="center" vertical="center" wrapText="1"/>
    </xf>
    <xf numFmtId="0" fontId="22" fillId="0" borderId="11" xfId="1" applyFont="1" applyFill="1" applyBorder="1" applyAlignment="1">
      <alignment horizontal="center" vertical="center" wrapText="1"/>
    </xf>
    <xf numFmtId="0" fontId="22" fillId="0" borderId="50" xfId="1" applyFont="1" applyFill="1" applyBorder="1" applyAlignment="1">
      <alignment horizontal="center" vertical="center" wrapText="1"/>
    </xf>
    <xf numFmtId="0" fontId="22" fillId="0" borderId="51" xfId="1" applyFont="1" applyFill="1" applyBorder="1" applyAlignment="1">
      <alignment horizontal="center" vertical="center" wrapText="1"/>
    </xf>
    <xf numFmtId="0" fontId="22" fillId="0" borderId="46" xfId="1" applyFont="1" applyFill="1" applyBorder="1" applyAlignment="1">
      <alignment horizontal="center" vertical="center" wrapText="1"/>
    </xf>
    <xf numFmtId="0" fontId="22" fillId="0" borderId="52" xfId="1" applyFont="1" applyFill="1" applyBorder="1" applyAlignment="1">
      <alignment horizontal="center" vertical="center" wrapText="1"/>
    </xf>
    <xf numFmtId="0" fontId="22" fillId="0" borderId="46" xfId="0" applyFont="1" applyBorder="1" applyAlignment="1">
      <alignment horizontal="center" vertical="center"/>
    </xf>
    <xf numFmtId="0" fontId="22" fillId="0" borderId="52" xfId="0" applyFont="1" applyBorder="1" applyAlignment="1">
      <alignment horizontal="center" vertical="center"/>
    </xf>
    <xf numFmtId="0" fontId="22" fillId="0" borderId="11" xfId="0" applyFont="1" applyBorder="1" applyAlignment="1">
      <alignment horizontal="center" vertical="center" wrapText="1"/>
    </xf>
    <xf numFmtId="0" fontId="22" fillId="0" borderId="46" xfId="0" applyFont="1" applyBorder="1" applyAlignment="1">
      <alignment horizontal="center" vertical="center" wrapText="1"/>
    </xf>
    <xf numFmtId="0" fontId="22" fillId="0" borderId="52" xfId="0" applyFont="1" applyBorder="1" applyAlignment="1">
      <alignment horizontal="center" vertical="center" wrapText="1"/>
    </xf>
    <xf numFmtId="0" fontId="22" fillId="0" borderId="50" xfId="0" applyFont="1" applyBorder="1" applyAlignment="1">
      <alignment horizontal="center" vertical="center"/>
    </xf>
    <xf numFmtId="0" fontId="22" fillId="0" borderId="38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2" fillId="0" borderId="42" xfId="0" applyFont="1" applyBorder="1" applyAlignment="1">
      <alignment horizontal="center" vertical="center"/>
    </xf>
    <xf numFmtId="0" fontId="22" fillId="0" borderId="50" xfId="0" applyFont="1" applyBorder="1" applyAlignment="1">
      <alignment horizontal="center" vertical="center" wrapText="1"/>
    </xf>
    <xf numFmtId="0" fontId="22" fillId="0" borderId="38" xfId="0" applyFont="1" applyBorder="1" applyAlignment="1">
      <alignment horizontal="center" vertical="center" wrapText="1"/>
    </xf>
    <xf numFmtId="0" fontId="22" fillId="0" borderId="5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170" fontId="22" fillId="13" borderId="39" xfId="2" applyNumberFormat="1" applyFont="1" applyFill="1" applyBorder="1" applyAlignment="1">
      <alignment horizontal="center" vertical="center" wrapText="1"/>
    </xf>
    <xf numFmtId="170" fontId="22" fillId="13" borderId="45" xfId="2" applyNumberFormat="1" applyFont="1" applyFill="1" applyBorder="1" applyAlignment="1">
      <alignment horizontal="center" vertical="center" wrapText="1"/>
    </xf>
    <xf numFmtId="170" fontId="22" fillId="13" borderId="34" xfId="2" applyNumberFormat="1" applyFont="1" applyFill="1" applyBorder="1" applyAlignment="1">
      <alignment horizontal="center" vertical="center" wrapText="1"/>
    </xf>
    <xf numFmtId="0" fontId="6" fillId="11" borderId="47" xfId="0" applyFont="1" applyFill="1" applyBorder="1" applyAlignment="1">
      <alignment horizontal="center" vertical="center" wrapText="1"/>
    </xf>
    <xf numFmtId="0" fontId="6" fillId="11" borderId="48" xfId="0" applyFont="1" applyFill="1" applyBorder="1" applyAlignment="1">
      <alignment horizontal="center" vertical="center" wrapText="1"/>
    </xf>
    <xf numFmtId="0" fontId="6" fillId="11" borderId="49" xfId="0" applyFont="1" applyFill="1" applyBorder="1" applyAlignment="1">
      <alignment horizontal="center" vertical="center" wrapText="1"/>
    </xf>
    <xf numFmtId="0" fontId="22" fillId="0" borderId="38" xfId="1" applyFont="1" applyFill="1" applyBorder="1" applyAlignment="1">
      <alignment horizontal="center" vertical="center" wrapText="1"/>
    </xf>
    <xf numFmtId="0" fontId="14" fillId="0" borderId="39" xfId="0" applyFont="1" applyFill="1" applyBorder="1" applyAlignment="1">
      <alignment horizontal="center" vertical="center" wrapText="1"/>
    </xf>
    <xf numFmtId="0" fontId="14" fillId="0" borderId="48" xfId="0" applyFont="1" applyFill="1" applyBorder="1" applyAlignment="1">
      <alignment horizontal="center" vertical="center" wrapText="1"/>
    </xf>
    <xf numFmtId="0" fontId="14" fillId="0" borderId="49" xfId="0" applyFont="1" applyFill="1" applyBorder="1" applyAlignment="1">
      <alignment horizontal="center" vertical="center" wrapText="1"/>
    </xf>
    <xf numFmtId="0" fontId="7" fillId="0" borderId="46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horizontal="center" vertical="center" wrapText="1"/>
    </xf>
    <xf numFmtId="0" fontId="7" fillId="0" borderId="52" xfId="0" applyFont="1" applyFill="1" applyBorder="1" applyAlignment="1">
      <alignment horizontal="center" vertical="center" wrapText="1"/>
    </xf>
    <xf numFmtId="0" fontId="7" fillId="0" borderId="60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7" fillId="0" borderId="62" xfId="0" applyFont="1" applyFill="1" applyBorder="1" applyAlignment="1">
      <alignment horizontal="center" vertical="center" wrapText="1"/>
    </xf>
    <xf numFmtId="0" fontId="9" fillId="0" borderId="50" xfId="0" applyFont="1" applyBorder="1" applyAlignment="1">
      <alignment horizontal="center"/>
    </xf>
    <xf numFmtId="0" fontId="9" fillId="0" borderId="38" xfId="0" applyFont="1" applyBorder="1" applyAlignment="1">
      <alignment horizontal="center"/>
    </xf>
  </cellXfs>
  <cellStyles count="3">
    <cellStyle name="Запетая" xfId="2" builtinId="3"/>
    <cellStyle name="Нормален" xfId="0" builtinId="0"/>
    <cellStyle name="Нормален 2" xfId="1"/>
  </cellStyles>
  <dxfs count="140"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thin">
          <color indexed="64"/>
        </top>
        <bottom/>
      </border>
    </dxf>
    <dxf>
      <font>
        <b/>
      </font>
      <numFmt numFmtId="3" formatCode="#,##0"/>
      <border diagonalUp="0" diagonalDown="0" outline="0">
        <left style="medium">
          <color indexed="64"/>
        </left>
        <right style="medium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medium">
          <color indexed="64"/>
        </right>
        <top style="thin">
          <color indexed="64"/>
        </top>
        <bottom/>
      </border>
    </dxf>
    <dxf>
      <numFmt numFmtId="3" formatCode="#,##0"/>
      <border diagonalUp="0" diagonalDown="0" outline="0">
        <left/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thin">
          <color indexed="64"/>
        </right>
        <top style="thin">
          <color indexed="64"/>
        </top>
        <bottom/>
      </border>
    </dxf>
    <dxf>
      <numFmt numFmtId="3" formatCode="#,##0"/>
      <border diagonalUp="0" diagonalDown="0">
        <left style="medium">
          <color indexed="64"/>
        </left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medium">
          <color indexed="64"/>
        </right>
        <top style="thin">
          <color indexed="64"/>
        </top>
        <bottom/>
      </border>
    </dxf>
    <dxf>
      <numFmt numFmtId="3" formatCode="#,##0"/>
      <border diagonalUp="0" diagonalDown="0">
        <left/>
        <right style="medium">
          <color indexed="64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thin">
          <color indexed="64"/>
        </right>
        <top style="thin">
          <color indexed="64"/>
        </top>
        <bottom/>
      </border>
    </dxf>
    <dxf>
      <numFmt numFmtId="3" formatCode="#,##0"/>
      <border diagonalUp="0" diagonalDown="0">
        <left style="medium">
          <color indexed="64"/>
        </left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scheme val="none"/>
      </font>
      <numFmt numFmtId="170" formatCode="_-* #,##0\ _л_в_-;\-* #,##0\ _л_в_-;_-* &quot;-&quot;??\ _л_в_-;_-@_-"/>
      <alignment horizontal="left" vertical="bottom" textRotation="0" wrapText="0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thin">
          <color indexed="64"/>
        </top>
        <bottom/>
      </border>
    </dxf>
    <dxf>
      <font>
        <b/>
      </font>
      <numFmt numFmtId="170" formatCode="_-* #,##0\ _л_в_-;\-* #,##0\ _л_в_-;_-* &quot;-&quot;??\ _л_в_-;_-@_-"/>
      <alignment horizontal="left" vertical="bottom" textRotation="0" wrapText="0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 style="medium">
          <color auto="1"/>
        </top>
        <bottom style="medium">
          <color auto="1"/>
        </bottom>
        <vertical/>
        <horizontal style="medium">
          <color auto="1"/>
        </horizontal>
      </border>
    </dxf>
    <dxf>
      <numFmt numFmtId="1" formatCode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numFmt numFmtId="1" formatCode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thin">
          <color indexed="64"/>
        </top>
        <bottom/>
      </border>
    </dxf>
    <dxf>
      <numFmt numFmtId="3" formatCode="#,##0"/>
      <border diagonalUp="0" diagonalDown="0">
        <left style="medium">
          <color indexed="64"/>
        </left>
        <right style="medium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medium">
          <color indexed="64"/>
        </right>
        <top style="thin">
          <color indexed="64"/>
        </top>
        <bottom/>
      </border>
    </dxf>
    <dxf>
      <numFmt numFmtId="3" formatCode="#,##0"/>
      <border diagonalUp="0" diagonalDown="0">
        <left/>
        <right style="medium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medium">
          <color indexed="64"/>
        </right>
        <top style="thin">
          <color indexed="64"/>
        </top>
        <bottom/>
      </border>
    </dxf>
    <dxf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thin">
          <color indexed="64"/>
        </right>
        <top style="thin">
          <color indexed="64"/>
        </top>
        <bottom/>
      </border>
    </dxf>
    <dxf>
      <numFmt numFmtId="3" formatCode="#,##0"/>
      <border diagonalUp="0" diagonalDown="0">
        <left style="medium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numFmt numFmtId="3" formatCode="#,##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numFmt numFmtId="3" formatCode="#,##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thin">
          <color indexed="64"/>
        </right>
        <top style="thin">
          <color indexed="64"/>
        </top>
        <bottom/>
      </border>
    </dxf>
    <dxf>
      <numFmt numFmtId="3" formatCode="#,##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numFmt numFmtId="3" formatCode="#,##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thin">
          <color indexed="64"/>
        </right>
        <top style="thin">
          <color indexed="64"/>
        </top>
        <bottom/>
      </border>
    </dxf>
    <dxf>
      <numFmt numFmtId="3" formatCode="#,##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numFmt numFmtId="3" formatCode="#,##0"/>
      <border diagonalUp="0" diagonalDown="0">
        <left/>
        <right style="medium">
          <color indexed="64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thin">
          <color indexed="64"/>
        </right>
        <top style="thin">
          <color indexed="64"/>
        </top>
        <bottom/>
      </border>
    </dxf>
    <dxf>
      <numFmt numFmtId="3" formatCode="#,##0"/>
      <border diagonalUp="0" diagonalDown="0">
        <left style="medium">
          <color indexed="64"/>
        </left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medium">
          <color indexed="64"/>
        </right>
        <top style="thin">
          <color indexed="64"/>
        </top>
        <bottom/>
      </border>
    </dxf>
    <dxf>
      <numFmt numFmtId="3" formatCode="#,##0"/>
      <border diagonalUp="0" diagonalDown="0">
        <left/>
        <right style="medium">
          <color indexed="64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thin">
          <color indexed="64"/>
        </right>
        <top style="thin">
          <color indexed="64"/>
        </top>
        <bottom/>
      </border>
    </dxf>
    <dxf>
      <numFmt numFmtId="3" formatCode="#,##0"/>
      <border diagonalUp="0" diagonalDown="0">
        <left style="medium">
          <color indexed="64"/>
        </left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medium">
          <color indexed="64"/>
        </right>
        <top style="thin">
          <color indexed="64"/>
        </top>
        <bottom/>
      </border>
    </dxf>
    <dxf>
      <numFmt numFmtId="3" formatCode="#,##0"/>
      <border diagonalUp="0" diagonalDown="0">
        <left/>
        <right style="medium">
          <color indexed="64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numFmt numFmtId="3" formatCode="#,##0"/>
      <border diagonalUp="0" diagonalDown="0">
        <left style="medium">
          <color indexed="64"/>
        </left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69" formatCode="#,##0.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69" formatCode="#,##0.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numFmt numFmtId="3" formatCode="#,##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69" formatCode="#,##0.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numFmt numFmtId="4" formatCode="#,##0.00"/>
      <border diagonalUp="0" diagonalDown="0" outline="0">
        <left/>
        <right style="medium">
          <color indexed="64"/>
        </right>
        <top style="medium">
          <color auto="1"/>
        </top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thin">
          <color indexed="64"/>
        </right>
        <top style="thin">
          <color indexed="64"/>
        </top>
        <bottom/>
      </border>
    </dxf>
    <dxf>
      <numFmt numFmtId="3" formatCode="#,##0"/>
      <border diagonalUp="0" diagonalDown="0" outline="0">
        <left style="medium">
          <color indexed="64"/>
        </left>
        <right style="thin">
          <color indexed="64"/>
        </right>
        <top style="medium">
          <color auto="1"/>
        </top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alignment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numFmt numFmtId="167" formatCode="0.0_ ;\-0.0\ "/>
      <border diagonalUp="0" diagonalDown="0" outline="0">
        <left/>
        <right/>
        <top style="thin">
          <color indexed="64"/>
        </top>
        <bottom/>
      </border>
    </dxf>
    <dxf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1" formatCode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/>
        <top style="thin">
          <color indexed="64"/>
        </top>
        <bottom style="medium">
          <color indexed="64"/>
        </bottom>
      </border>
    </dxf>
    <dxf>
      <numFmt numFmtId="3" formatCode="#,##0"/>
      <border diagonalUp="0" diagonalDown="0">
        <left style="medium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/>
      </border>
    </dxf>
    <dxf>
      <numFmt numFmtId="3" formatCode="#,##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medium">
          <color indexed="64"/>
        </right>
        <top style="thin">
          <color indexed="64"/>
        </top>
        <bottom style="medium">
          <color indexed="64"/>
        </bottom>
      </border>
    </dxf>
    <dxf>
      <numFmt numFmtId="3" formatCode="#,##0"/>
      <border diagonalUp="0" diagonalDown="0">
        <left/>
        <right style="medium">
          <color indexed="64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</dxf>
    <dxf>
      <numFmt numFmtId="3" formatCode="#,##0"/>
      <border diagonalUp="0" diagonalDown="0">
        <left style="medium">
          <color indexed="64"/>
        </left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thin">
          <color indexed="64"/>
        </top>
        <bottom style="medium">
          <color indexed="64"/>
        </bottom>
      </border>
    </dxf>
    <dxf>
      <numFmt numFmtId="3" formatCode="#,##0"/>
      <border diagonalUp="0" diagonalDown="0">
        <left style="medium">
          <color indexed="64"/>
        </left>
        <right style="medium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thin">
          <color indexed="64"/>
        </top>
        <bottom style="medium">
          <color indexed="64"/>
        </bottom>
      </border>
    </dxf>
    <dxf>
      <numFmt numFmtId="3" formatCode="#,##0"/>
      <border diagonalUp="0" diagonalDown="0">
        <left style="medium">
          <color indexed="64"/>
        </left>
        <right style="medium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medium">
          <color indexed="64"/>
        </right>
        <top style="thin">
          <color indexed="64"/>
        </top>
        <bottom style="medium">
          <color indexed="64"/>
        </bottom>
      </border>
    </dxf>
    <dxf>
      <numFmt numFmtId="3" formatCode="#,##0"/>
      <border diagonalUp="0" diagonalDown="0">
        <left/>
        <right style="medium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medium">
          <color indexed="64"/>
        </bottom>
      </border>
    </dxf>
    <dxf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medium">
          <color indexed="64"/>
        </right>
        <top style="thin">
          <color indexed="64"/>
        </top>
        <bottom style="medium">
          <color indexed="64"/>
        </bottom>
      </border>
    </dxf>
    <dxf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</dxf>
    <dxf>
      <numFmt numFmtId="3" formatCode="#,##0"/>
      <border diagonalUp="0" diagonalDown="0">
        <left style="medium">
          <color indexed="64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medium">
          <color indexed="64"/>
        </bottom>
      </border>
    </dxf>
    <dxf>
      <numFmt numFmtId="3" formatCode="#,##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</dxf>
    <dxf>
      <numFmt numFmtId="3" formatCode="#,##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medium">
          <color indexed="64"/>
        </bottom>
      </border>
    </dxf>
    <dxf>
      <numFmt numFmtId="3" formatCode="#,##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</dxf>
    <dxf>
      <numFmt numFmtId="3" formatCode="#,##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medium">
          <color indexed="64"/>
        </bottom>
      </border>
    </dxf>
    <dxf>
      <numFmt numFmtId="3" formatCode="#,##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</dxf>
    <dxf>
      <numFmt numFmtId="3" formatCode="#,##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medium">
          <color indexed="64"/>
        </bottom>
      </border>
    </dxf>
    <dxf>
      <numFmt numFmtId="3" formatCode="#,##0"/>
      <border diagonalUp="0" diagonalDown="0">
        <left/>
        <right style="medium">
          <color indexed="64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</dxf>
    <dxf>
      <numFmt numFmtId="3" formatCode="#,##0"/>
      <border diagonalUp="0" diagonalDown="0">
        <left style="medium">
          <color indexed="64"/>
        </left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medium">
          <color indexed="64"/>
        </right>
        <top style="thin">
          <color indexed="64"/>
        </top>
        <bottom style="medium">
          <color indexed="64"/>
        </bottom>
      </border>
    </dxf>
    <dxf>
      <numFmt numFmtId="3" formatCode="#,##0"/>
      <border diagonalUp="0" diagonalDown="0">
        <left/>
        <right style="medium">
          <color indexed="64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</dxf>
    <dxf>
      <numFmt numFmtId="3" formatCode="#,##0"/>
      <border diagonalUp="0" diagonalDown="0">
        <left style="medium">
          <color indexed="64"/>
        </left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medium">
          <color indexed="64"/>
        </right>
        <top style="thin">
          <color indexed="64"/>
        </top>
        <bottom style="medium">
          <color indexed="64"/>
        </bottom>
      </border>
    </dxf>
    <dxf>
      <numFmt numFmtId="3" formatCode="#,##0"/>
      <border diagonalUp="0" diagonalDown="0">
        <left/>
        <right style="medium">
          <color indexed="64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</dxf>
    <dxf>
      <numFmt numFmtId="3" formatCode="#,##0"/>
      <border diagonalUp="0" diagonalDown="0">
        <left style="medium">
          <color indexed="64"/>
        </left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medium">
          <color indexed="64"/>
        </right>
        <top style="thin">
          <color indexed="64"/>
        </top>
        <bottom style="medium">
          <color indexed="64"/>
        </bottom>
      </border>
    </dxf>
    <dxf>
      <numFmt numFmtId="3" formatCode="#,##0"/>
      <border diagonalUp="0" diagonalDown="0">
        <left/>
        <right style="medium">
          <color indexed="64"/>
        </right>
        <top style="medium">
          <color auto="1"/>
        </top>
        <bottom style="medium">
          <color auto="1"/>
        </bottom>
        <vertical/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thin">
          <color indexed="64"/>
        </right>
        <top style="thin">
          <color indexed="64"/>
        </top>
        <bottom style="medium">
          <color indexed="64"/>
        </bottom>
      </border>
    </dxf>
    <dxf>
      <numFmt numFmtId="3" formatCode="#,##0"/>
      <border diagonalUp="0" diagonalDown="0">
        <left style="medium">
          <color indexed="64"/>
        </left>
        <right/>
        <top style="medium">
          <color auto="1"/>
        </top>
        <bottom style="medium">
          <color auto="1"/>
        </bottom>
        <vertical/>
        <horizontal style="medium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numFmt numFmtId="3" formatCode="#,##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medium">
          <color indexed="64"/>
        </right>
        <top style="thin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numFmt numFmtId="3" formatCode="#,##0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 style="medium">
          <color indexed="64"/>
        </left>
        <right style="medium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/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bottom style="thin">
          <color indexed="64"/>
        </bottom>
      </border>
    </dxf>
    <dxf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Таблица2" displayName="Таблица2" ref="A3:AF13" totalsRowCount="1" headerRowDxfId="139" headerRowBorderDxfId="138" tableBorderDxfId="137" totalsRowBorderDxfId="136">
  <autoFilter ref="A3:AF12"/>
  <tableColumns count="32">
    <tableColumn id="1" name="Колона1" totalsRowLabel="Общо" dataDxfId="135" totalsRowDxfId="134"/>
    <tableColumn id="2" name="Колона2" totalsRowFunction="sum" dataDxfId="133" totalsRowDxfId="132"/>
    <tableColumn id="3" name="Колона3" totalsRowFunction="sum" dataDxfId="131" totalsRowDxfId="130" dataCellStyle="Нормален 2"/>
    <tableColumn id="4" name="Колона4" totalsRowFunction="sum" dataDxfId="129" totalsRowDxfId="128" dataCellStyle="Нормален 2">
      <calculatedColumnFormula>C4*$D$2</calculatedColumnFormula>
    </tableColumn>
    <tableColumn id="5" name="Колона5" totalsRowFunction="sum" dataDxfId="127" totalsRowDxfId="126" dataCellStyle="Нормален 2"/>
    <tableColumn id="6" name="Колона6" totalsRowFunction="sum" dataDxfId="125" totalsRowDxfId="124" dataCellStyle="Нормален 2">
      <calculatedColumnFormula>E4*$F$2</calculatedColumnFormula>
    </tableColumn>
    <tableColumn id="10" name="Колона7" totalsRowFunction="sum" dataDxfId="123" totalsRowDxfId="122" dataCellStyle="Нормален 2"/>
    <tableColumn id="11" name="Колона8" totalsRowFunction="sum" dataDxfId="121" totalsRowDxfId="120" dataCellStyle="Нормален 2">
      <calculatedColumnFormula>G4*$H$2</calculatedColumnFormula>
    </tableColumn>
    <tableColumn id="15" name="Колона9" totalsRowFunction="sum" dataDxfId="119" totalsRowDxfId="118" dataCellStyle="Нормален 2"/>
    <tableColumn id="16" name="Колона10" totalsRowFunction="sum" dataDxfId="117" totalsRowDxfId="116" dataCellStyle="Нормален 2">
      <calculatedColumnFormula>I4*$J$2</calculatedColumnFormula>
    </tableColumn>
    <tableColumn id="18" name="Колона11" totalsRowFunction="sum" dataDxfId="115" totalsRowDxfId="114"/>
    <tableColumn id="19" name="Колона12" totalsRowFunction="sum" dataDxfId="113" totalsRowDxfId="112">
      <calculatedColumnFormula>K4*$L$2</calculatedColumnFormula>
    </tableColumn>
    <tableColumn id="9" name="Колона13" totalsRowFunction="sum" dataDxfId="111" totalsRowDxfId="110"/>
    <tableColumn id="8" name="Колона14" totalsRowFunction="sum" dataDxfId="109" totalsRowDxfId="108">
      <calculatedColumnFormula>M4*$N$2</calculatedColumnFormula>
    </tableColumn>
    <tableColumn id="12" name="Колона15" totalsRowFunction="sum" dataDxfId="107" totalsRowDxfId="106"/>
    <tableColumn id="13" name="Колона16" totalsRowFunction="sum" dataDxfId="105" totalsRowDxfId="104">
      <calculatedColumnFormula>O4*$P$2</calculatedColumnFormula>
    </tableColumn>
    <tableColumn id="14" name="Колона17" totalsRowFunction="sum" dataDxfId="103" totalsRowDxfId="102"/>
    <tableColumn id="17" name="Колона18" totalsRowFunction="sum" dataDxfId="101" totalsRowDxfId="100">
      <calculatedColumnFormula>Q4*$R$2</calculatedColumnFormula>
    </tableColumn>
    <tableColumn id="28" name="Колона19" totalsRowFunction="sum" dataDxfId="99" totalsRowDxfId="98"/>
    <tableColumn id="29" name="Колона20" totalsRowFunction="sum" dataDxfId="97" totalsRowDxfId="96">
      <calculatedColumnFormula>S4*$T$2</calculatedColumnFormula>
    </tableColumn>
    <tableColumn id="27" name="Колона21" totalsRowFunction="sum" dataDxfId="95" totalsRowDxfId="94"/>
    <tableColumn id="26" name="Колона22" totalsRowFunction="sum" dataDxfId="93" totalsRowDxfId="92">
      <calculatedColumnFormula>U4*$V$2</calculatedColumnFormula>
    </tableColumn>
    <tableColumn id="30" name="Колона23" totalsRowFunction="sum" dataDxfId="91" totalsRowDxfId="90">
      <calculatedColumnFormula>B4+D4+F4+H4+J4+L4+N4+P4+R4+T4+V4</calculatedColumnFormula>
    </tableColumn>
    <tableColumn id="31" name="Колона24" totalsRowFunction="sum" dataDxfId="89" totalsRowDxfId="88">
      <calculatedColumnFormula>(Таблица2[[#This Row],[Колона2]]+Таблица2[[#This Row],[Колона4]]+Таблица2[[#This Row],[Колона6]]+Таблица2[[#This Row],[Колона20]]+Таблица2[[#This Row],[Колона22]])*$X$1</calculatedColumnFormula>
    </tableColumn>
    <tableColumn id="20" name="Колона25" totalsRowFunction="sum" dataDxfId="87" totalsRowDxfId="86"/>
    <tableColumn id="21" name="Колона26" totalsRowFunction="sum" dataDxfId="85" totalsRowDxfId="84">
      <calculatedColumnFormula>Y4*$Z$2</calculatedColumnFormula>
    </tableColumn>
    <tableColumn id="22" name="Колона27" totalsRowFunction="sum" dataDxfId="83" totalsRowDxfId="82"/>
    <tableColumn id="23" name="Колона28" totalsRowFunction="sum" dataDxfId="81" totalsRowDxfId="80">
      <calculatedColumnFormula>AA4*$AB$2</calculatedColumnFormula>
    </tableColumn>
    <tableColumn id="24" name="Колона29" totalsRowFunction="sum" dataDxfId="79" totalsRowDxfId="78">
      <calculatedColumnFormula>Таблица2[[#This Row],[Колона26]]+Таблица2[[#This Row],[Колона28]]</calculatedColumnFormula>
    </tableColumn>
    <tableColumn id="32" name="Колона30" totalsRowFunction="sum" dataDxfId="77" totalsRowDxfId="76">
      <calculatedColumnFormula>Таблица2[[#This Row],[Колона23]]+Таблица2[[#This Row],[Колона24]]+Таблица2[[#This Row],[Колона29]]</calculatedColumnFormula>
    </tableColumn>
    <tableColumn id="33" name="Колона31" totalsRowFunction="sum" dataDxfId="75" totalsRowDxfId="74">
      <calculatedColumnFormula>Таблица2[[#This Row],[Колона30]]-'2017'!AC9</calculatedColumnFormula>
    </tableColumn>
    <tableColumn id="7" name="Колона32" totalsRowFunction="sum" dataDxfId="73" totalsRowDxfId="72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7" name="Таблица28" displayName="Таблица28" ref="A4:AG14" totalsRowCount="1" headerRowDxfId="68" headerRowBorderDxfId="67" tableBorderDxfId="66" totalsRowBorderDxfId="65">
  <autoFilter ref="A4:AG13"/>
  <tableColumns count="33">
    <tableColumn id="1" name="Колона1" totalsRowLabel="Общо" dataDxfId="64" totalsRowDxfId="63"/>
    <tableColumn id="2" name="Колона2" totalsRowFunction="sum" dataDxfId="62" totalsRowDxfId="61"/>
    <tableColumn id="3" name="Колона3" totalsRowFunction="sum" dataDxfId="60" totalsRowDxfId="59" dataCellStyle="Нормален 2"/>
    <tableColumn id="4" name="Колона4" totalsRowFunction="sum" dataDxfId="58" totalsRowDxfId="57" dataCellStyle="Нормален 2">
      <calculatedColumnFormula>C5*$D$3</calculatedColumnFormula>
    </tableColumn>
    <tableColumn id="5" name="Колона5" totalsRowFunction="sum" dataDxfId="56" totalsRowDxfId="55" dataCellStyle="Нормален 2"/>
    <tableColumn id="6" name="Колона6" totalsRowFunction="sum" dataDxfId="54" totalsRowDxfId="53" dataCellStyle="Нормален 2">
      <calculatedColumnFormula>E5*$F$3</calculatedColumnFormula>
    </tableColumn>
    <tableColumn id="34" name="Колона7" totalsRowFunction="sum" dataDxfId="52" totalsRowDxfId="51" dataCellStyle="Нормален 2"/>
    <tableColumn id="33" name="Колона8" totalsRowFunction="sum" dataDxfId="50" totalsRowDxfId="49" dataCellStyle="Нормален 2">
      <calculatedColumnFormula>$H$2/Таблица28[[#Totals],[Колона5]]*Таблица28[[#This Row],[Колона5]]</calculatedColumnFormula>
    </tableColumn>
    <tableColumn id="7" name="Колона9" totalsRowFunction="sum" dataDxfId="48" totalsRowDxfId="47" dataCellStyle="Нормален 2">
      <calculatedColumnFormula>Таблица28[[#This Row],[Колона7]]+Таблица28[[#This Row],[Колона8]]</calculatedColumnFormula>
    </tableColumn>
    <tableColumn id="10" name="Колона10" totalsRowFunction="sum" dataDxfId="46" totalsRowDxfId="45" dataCellStyle="Нормален 2"/>
    <tableColumn id="11" name="Колона11" totalsRowFunction="sum" dataDxfId="44" totalsRowDxfId="43" dataCellStyle="Нормален 2">
      <calculatedColumnFormula>J5*$K$3</calculatedColumnFormula>
    </tableColumn>
    <tableColumn id="15" name="Колона12" totalsRowFunction="sum" dataDxfId="42" totalsRowDxfId="41" dataCellStyle="Нормален 2"/>
    <tableColumn id="16" name="Колона13" totalsRowFunction="sum" dataDxfId="40" totalsRowDxfId="39" dataCellStyle="Нормален 2">
      <calculatedColumnFormula>L5*$M$3</calculatedColumnFormula>
    </tableColumn>
    <tableColumn id="18" name="Колона14" totalsRowFunction="sum" dataDxfId="38" totalsRowDxfId="37"/>
    <tableColumn id="19" name="Колона15" totalsRowFunction="sum" dataDxfId="36" totalsRowDxfId="35">
      <calculatedColumnFormula>N5*$O$3</calculatedColumnFormula>
    </tableColumn>
    <tableColumn id="9" name="Колона16" totalsRowFunction="sum" dataDxfId="34" totalsRowDxfId="33"/>
    <tableColumn id="8" name="Колона17" totalsRowFunction="sum" dataDxfId="32" totalsRowDxfId="31">
      <calculatedColumnFormula>P5*$Q$3</calculatedColumnFormula>
    </tableColumn>
    <tableColumn id="12" name="Колона18" totalsRowFunction="sum" dataDxfId="30" totalsRowDxfId="29"/>
    <tableColumn id="13" name="Колона19" totalsRowFunction="sum" dataDxfId="28" totalsRowDxfId="27">
      <calculatedColumnFormula>R5*$S$3</calculatedColumnFormula>
    </tableColumn>
    <tableColumn id="14" name="Колона20" totalsRowFunction="sum" totalsRowDxfId="26"/>
    <tableColumn id="17" name="Колона21" totalsRowFunction="sum" dataDxfId="25" totalsRowDxfId="24">
      <calculatedColumnFormula>T5*$U$3</calculatedColumnFormula>
    </tableColumn>
    <tableColumn id="28" name="Колона22" totalsRowFunction="sum" dataDxfId="23" totalsRowDxfId="22"/>
    <tableColumn id="29" name="Колона23" totalsRowFunction="sum" dataDxfId="21" totalsRowDxfId="20">
      <calculatedColumnFormula>V5*$W$3</calculatedColumnFormula>
    </tableColumn>
    <tableColumn id="27" name="Колона24" totalsRowFunction="sum" dataDxfId="19" totalsRowDxfId="18"/>
    <tableColumn id="26" name="Колона25" totalsRowFunction="sum" dataDxfId="17" totalsRowDxfId="16">
      <calculatedColumnFormula>X5*$Y$3</calculatedColumnFormula>
    </tableColumn>
    <tableColumn id="30" name="Колона26" totalsRowFunction="sum" dataDxfId="15" totalsRowDxfId="14">
      <calculatedColumnFormula>B5+D5+I5+K5+M5+O5+Q5+S5+U5+W5+Y5</calculatedColumnFormula>
    </tableColumn>
    <tableColumn id="35" name="Колона27" totalsRowFunction="sum" dataDxfId="13" totalsRowDxfId="12"/>
    <tableColumn id="36" name="Колона28" totalsRowFunction="sum" dataDxfId="11" totalsRowDxfId="10" dataCellStyle="Запетая">
      <calculatedColumnFormula>Таблица28[[#This Row],[Колона26]]+Таблица28[[#This Row],[Колона27]]</calculatedColumnFormula>
    </tableColumn>
    <tableColumn id="20" name="Колона29" totalsRowFunction="sum" dataDxfId="9" totalsRowDxfId="8"/>
    <tableColumn id="21" name="Колона30" totalsRowFunction="sum" dataDxfId="7" totalsRowDxfId="6">
      <calculatedColumnFormula>AC5*$AD$3</calculatedColumnFormula>
    </tableColumn>
    <tableColumn id="22" name="Колона31" totalsRowFunction="sum" dataDxfId="5" totalsRowDxfId="4"/>
    <tableColumn id="23" name="Колона32" totalsRowFunction="sum" dataDxfId="3" totalsRowDxfId="2">
      <calculatedColumnFormula>AE5*$AF$3</calculatedColumnFormula>
    </tableColumn>
    <tableColumn id="24" name="Колона33" totalsRowFunction="sum" dataDxfId="1" totalsRowDxfId="0">
      <calculatedColumnFormula>Таблица28[[#This Row],[Колона30]]+Таблица28[[#This Row],[Колона32]]</calculatedColumnFormula>
    </tableColumn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тема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183"/>
  <sheetViews>
    <sheetView topLeftCell="B6" zoomScaleNormal="100" workbookViewId="0">
      <pane xSplit="1" ySplit="3" topLeftCell="C9" activePane="bottomRight" state="frozen"/>
      <selection activeCell="B6" sqref="B6"/>
      <selection pane="topRight" activeCell="C6" sqref="C6"/>
      <selection pane="bottomLeft" activeCell="B9" sqref="B9"/>
      <selection pane="bottomRight" activeCell="Z15" sqref="Z15"/>
    </sheetView>
  </sheetViews>
  <sheetFormatPr defaultColWidth="13" defaultRowHeight="14.25" x14ac:dyDescent="0.2"/>
  <cols>
    <col min="1" max="1" width="2.7109375" style="1" customWidth="1"/>
    <col min="2" max="2" width="15.140625" style="1" customWidth="1"/>
    <col min="3" max="3" width="4.5703125" style="1" customWidth="1"/>
    <col min="4" max="4" width="7.28515625" style="1" customWidth="1"/>
    <col min="5" max="5" width="6.42578125" style="1" customWidth="1"/>
    <col min="6" max="6" width="9.140625" style="1" bestFit="1" customWidth="1"/>
    <col min="7" max="7" width="9.28515625" style="1" customWidth="1"/>
    <col min="8" max="8" width="7.140625" style="1" customWidth="1"/>
    <col min="9" max="9" width="3" style="1" bestFit="1" customWidth="1"/>
    <col min="10" max="10" width="5.28515625" style="1" bestFit="1" customWidth="1"/>
    <col min="11" max="11" width="3" style="1" bestFit="1" customWidth="1"/>
    <col min="12" max="12" width="6.140625" style="1" customWidth="1"/>
    <col min="13" max="13" width="5" style="1" bestFit="1" customWidth="1"/>
    <col min="14" max="14" width="5.28515625" style="1" customWidth="1"/>
    <col min="15" max="15" width="3" style="1" bestFit="1" customWidth="1"/>
    <col min="16" max="16" width="5" style="1" bestFit="1" customWidth="1"/>
    <col min="17" max="17" width="4" style="1" bestFit="1" customWidth="1"/>
    <col min="18" max="18" width="6.140625" style="1" customWidth="1"/>
    <col min="19" max="19" width="4.42578125" style="1" customWidth="1"/>
    <col min="20" max="20" width="5.85546875" style="1" customWidth="1"/>
    <col min="21" max="21" width="4.42578125" style="1" bestFit="1" customWidth="1"/>
    <col min="22" max="22" width="7.28515625" style="1" customWidth="1"/>
    <col min="23" max="23" width="7.5703125" style="1" customWidth="1"/>
    <col min="24" max="24" width="4" style="1" bestFit="1" customWidth="1"/>
    <col min="25" max="27" width="5.85546875" style="1" customWidth="1"/>
    <col min="28" max="28" width="7.7109375" style="1" customWidth="1"/>
    <col min="29" max="29" width="8.5703125" style="1" customWidth="1"/>
    <col min="30" max="30" width="3" style="1" hidden="1" customWidth="1"/>
    <col min="31" max="31" width="4.85546875" style="1" hidden="1" customWidth="1"/>
    <col min="32" max="32" width="3.5703125" style="1" hidden="1" customWidth="1"/>
    <col min="33" max="33" width="5.28515625" style="1" hidden="1" customWidth="1"/>
    <col min="34" max="34" width="4.140625" style="1" hidden="1" customWidth="1"/>
    <col min="35" max="35" width="5.28515625" style="1" hidden="1" customWidth="1"/>
    <col min="36" max="36" width="6" style="1" hidden="1" customWidth="1"/>
    <col min="37" max="37" width="4.140625" style="1" hidden="1" customWidth="1"/>
    <col min="38" max="38" width="6" style="1" hidden="1" customWidth="1"/>
    <col min="39" max="39" width="8.42578125" style="56" hidden="1" customWidth="1"/>
    <col min="40" max="40" width="9" style="56" customWidth="1"/>
    <col min="41" max="16384" width="13" style="1"/>
  </cols>
  <sheetData>
    <row r="1" spans="1:40" ht="14.25" hidden="1" customHeight="1" x14ac:dyDescent="0.2">
      <c r="W1" s="56" t="s">
        <v>0</v>
      </c>
    </row>
    <row r="2" spans="1:40" ht="18" hidden="1" customHeight="1" x14ac:dyDescent="0.2">
      <c r="S2" s="466"/>
      <c r="T2" s="466"/>
      <c r="U2" s="466"/>
      <c r="V2" s="466"/>
      <c r="W2" s="466"/>
    </row>
    <row r="3" spans="1:40" ht="45.75" hidden="1" customHeight="1" x14ac:dyDescent="0.2">
      <c r="A3" s="468" t="s">
        <v>84</v>
      </c>
      <c r="B3" s="468"/>
      <c r="C3" s="468"/>
      <c r="D3" s="468"/>
      <c r="E3" s="468"/>
      <c r="F3" s="468"/>
      <c r="G3" s="468"/>
      <c r="H3" s="468"/>
      <c r="I3" s="468"/>
      <c r="J3" s="468"/>
      <c r="K3" s="468"/>
      <c r="L3" s="468"/>
      <c r="M3" s="468"/>
      <c r="N3" s="468"/>
      <c r="O3" s="468"/>
      <c r="P3" s="468"/>
      <c r="Q3" s="468"/>
      <c r="R3" s="468"/>
      <c r="S3" s="468"/>
      <c r="T3" s="468"/>
      <c r="U3" s="468"/>
      <c r="V3" s="468"/>
      <c r="W3" s="468"/>
      <c r="X3" s="468"/>
      <c r="Y3" s="468"/>
      <c r="Z3" s="468"/>
      <c r="AA3" s="468"/>
      <c r="AB3" s="468"/>
      <c r="AC3" s="468"/>
      <c r="AD3" s="468"/>
      <c r="AE3" s="468"/>
      <c r="AF3" s="468"/>
      <c r="AG3" s="468"/>
      <c r="AH3" s="468"/>
      <c r="AI3" s="468"/>
      <c r="AJ3" s="468"/>
      <c r="AK3" s="468"/>
      <c r="AL3" s="468"/>
      <c r="AM3" s="468"/>
    </row>
    <row r="4" spans="1:40" ht="6" hidden="1" customHeight="1" thickBo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40" ht="30" hidden="1" customHeight="1" x14ac:dyDescent="0.2">
      <c r="A5" s="4"/>
      <c r="B5" s="5"/>
      <c r="C5" s="454" t="s">
        <v>1</v>
      </c>
      <c r="D5" s="467"/>
      <c r="E5" s="467"/>
      <c r="F5" s="467"/>
      <c r="G5" s="467"/>
      <c r="H5" s="455"/>
      <c r="I5" s="454" t="s">
        <v>2</v>
      </c>
      <c r="J5" s="455"/>
      <c r="K5" s="454" t="s">
        <v>2</v>
      </c>
      <c r="L5" s="455"/>
      <c r="M5" s="456" t="s">
        <v>2</v>
      </c>
      <c r="N5" s="456"/>
      <c r="O5" s="456" t="s">
        <v>2</v>
      </c>
      <c r="P5" s="456"/>
      <c r="Q5" s="454" t="s">
        <v>2</v>
      </c>
      <c r="R5" s="467"/>
      <c r="S5" s="456" t="s">
        <v>2</v>
      </c>
      <c r="T5" s="456"/>
      <c r="U5" s="456" t="s">
        <v>2</v>
      </c>
      <c r="V5" s="454"/>
      <c r="W5" s="457" t="s">
        <v>3</v>
      </c>
      <c r="X5" s="454" t="s">
        <v>2</v>
      </c>
      <c r="Y5" s="455"/>
      <c r="Z5" s="287"/>
      <c r="AA5" s="287"/>
      <c r="AB5" s="457" t="s">
        <v>58</v>
      </c>
      <c r="AC5" s="345"/>
      <c r="AD5" s="502" t="s">
        <v>2</v>
      </c>
      <c r="AE5" s="503"/>
      <c r="AF5" s="503"/>
      <c r="AG5" s="503"/>
      <c r="AH5" s="503"/>
      <c r="AI5" s="503"/>
      <c r="AJ5" s="504" t="s">
        <v>64</v>
      </c>
      <c r="AK5" s="496" t="s">
        <v>2</v>
      </c>
      <c r="AL5" s="497"/>
      <c r="AM5" s="469" t="s">
        <v>73</v>
      </c>
      <c r="AN5" s="201"/>
    </row>
    <row r="6" spans="1:40" ht="24.75" customHeight="1" x14ac:dyDescent="0.2">
      <c r="A6" s="482" t="s">
        <v>4</v>
      </c>
      <c r="B6" s="491" t="s">
        <v>5</v>
      </c>
      <c r="C6" s="473" t="s">
        <v>31</v>
      </c>
      <c r="D6" s="474"/>
      <c r="E6" s="477" t="s">
        <v>32</v>
      </c>
      <c r="F6" s="492" t="s">
        <v>6</v>
      </c>
      <c r="G6" s="494" t="s">
        <v>85</v>
      </c>
      <c r="H6" s="494" t="s">
        <v>86</v>
      </c>
      <c r="I6" s="460" t="s">
        <v>8</v>
      </c>
      <c r="J6" s="461"/>
      <c r="K6" s="460" t="s">
        <v>9</v>
      </c>
      <c r="L6" s="461"/>
      <c r="M6" s="460" t="s">
        <v>10</v>
      </c>
      <c r="N6" s="461"/>
      <c r="O6" s="460" t="s">
        <v>35</v>
      </c>
      <c r="P6" s="461"/>
      <c r="Q6" s="473" t="s">
        <v>11</v>
      </c>
      <c r="R6" s="480"/>
      <c r="S6" s="460" t="s">
        <v>12</v>
      </c>
      <c r="T6" s="461"/>
      <c r="U6" s="460" t="s">
        <v>92</v>
      </c>
      <c r="V6" s="464"/>
      <c r="W6" s="458"/>
      <c r="X6" s="450" t="s">
        <v>34</v>
      </c>
      <c r="Y6" s="451"/>
      <c r="Z6" s="450" t="s">
        <v>90</v>
      </c>
      <c r="AA6" s="451"/>
      <c r="AB6" s="495"/>
      <c r="AC6" s="347"/>
      <c r="AD6" s="471" t="s">
        <v>59</v>
      </c>
      <c r="AE6" s="472"/>
      <c r="AF6" s="472"/>
      <c r="AG6" s="472"/>
      <c r="AH6" s="472"/>
      <c r="AI6" s="472"/>
      <c r="AJ6" s="504"/>
      <c r="AK6" s="498" t="s">
        <v>74</v>
      </c>
      <c r="AL6" s="499"/>
      <c r="AM6" s="470"/>
      <c r="AN6" s="201"/>
    </row>
    <row r="7" spans="1:40" ht="49.5" customHeight="1" x14ac:dyDescent="0.2">
      <c r="A7" s="482"/>
      <c r="B7" s="491"/>
      <c r="C7" s="475"/>
      <c r="D7" s="476"/>
      <c r="E7" s="478"/>
      <c r="F7" s="493"/>
      <c r="G7" s="494"/>
      <c r="H7" s="494"/>
      <c r="I7" s="462"/>
      <c r="J7" s="463"/>
      <c r="K7" s="462"/>
      <c r="L7" s="463"/>
      <c r="M7" s="462"/>
      <c r="N7" s="463"/>
      <c r="O7" s="462"/>
      <c r="P7" s="463"/>
      <c r="Q7" s="475"/>
      <c r="R7" s="481"/>
      <c r="S7" s="462"/>
      <c r="T7" s="463"/>
      <c r="U7" s="462"/>
      <c r="V7" s="465"/>
      <c r="W7" s="458"/>
      <c r="X7" s="452"/>
      <c r="Y7" s="453"/>
      <c r="Z7" s="452"/>
      <c r="AA7" s="453"/>
      <c r="AB7" s="495"/>
      <c r="AC7" s="349"/>
      <c r="AD7" s="471" t="s">
        <v>61</v>
      </c>
      <c r="AE7" s="472"/>
      <c r="AF7" s="472" t="s">
        <v>62</v>
      </c>
      <c r="AG7" s="472"/>
      <c r="AH7" s="472" t="s">
        <v>60</v>
      </c>
      <c r="AI7" s="472"/>
      <c r="AJ7" s="504"/>
      <c r="AK7" s="500"/>
      <c r="AL7" s="501"/>
      <c r="AM7" s="470"/>
      <c r="AN7" s="201"/>
    </row>
    <row r="8" spans="1:40" ht="76.5" customHeight="1" x14ac:dyDescent="0.2">
      <c r="A8" s="482"/>
      <c r="B8" s="491"/>
      <c r="C8" s="7" t="s">
        <v>14</v>
      </c>
      <c r="D8" s="11">
        <v>1814</v>
      </c>
      <c r="E8" s="479"/>
      <c r="F8" s="12">
        <f>D18-E18</f>
        <v>5195512</v>
      </c>
      <c r="G8" s="494"/>
      <c r="H8" s="494"/>
      <c r="I8" s="8" t="s">
        <v>14</v>
      </c>
      <c r="J8" s="13">
        <v>436</v>
      </c>
      <c r="K8" s="8" t="s">
        <v>14</v>
      </c>
      <c r="L8" s="14">
        <v>3592</v>
      </c>
      <c r="M8" s="8" t="s">
        <v>14</v>
      </c>
      <c r="N8" s="14">
        <v>25</v>
      </c>
      <c r="O8" s="8" t="s">
        <v>14</v>
      </c>
      <c r="P8" s="14">
        <v>1009</v>
      </c>
      <c r="Q8" s="8" t="s">
        <v>14</v>
      </c>
      <c r="R8" s="14">
        <v>87</v>
      </c>
      <c r="S8" s="8" t="s">
        <v>14</v>
      </c>
      <c r="T8" s="14">
        <v>72</v>
      </c>
      <c r="U8" s="8" t="s">
        <v>14</v>
      </c>
      <c r="V8" s="77">
        <v>665</v>
      </c>
      <c r="W8" s="459"/>
      <c r="X8" s="8" t="s">
        <v>14</v>
      </c>
      <c r="Y8" s="14">
        <v>359</v>
      </c>
      <c r="Z8" s="14" t="s">
        <v>91</v>
      </c>
      <c r="AA8" s="288">
        <v>2476</v>
      </c>
      <c r="AB8" s="459"/>
      <c r="AC8" s="348" t="s">
        <v>126</v>
      </c>
      <c r="AD8" s="187" t="s">
        <v>63</v>
      </c>
      <c r="AE8" s="13">
        <v>3000</v>
      </c>
      <c r="AF8" s="176" t="s">
        <v>63</v>
      </c>
      <c r="AG8" s="13">
        <v>5000</v>
      </c>
      <c r="AH8" s="13" t="s">
        <v>63</v>
      </c>
      <c r="AI8" s="180">
        <v>6000</v>
      </c>
      <c r="AJ8" s="504"/>
      <c r="AK8" s="203" t="s">
        <v>72</v>
      </c>
      <c r="AL8" s="204">
        <v>1117</v>
      </c>
      <c r="AM8" s="470"/>
      <c r="AN8" s="201"/>
    </row>
    <row r="9" spans="1:40" ht="27" customHeight="1" x14ac:dyDescent="0.2">
      <c r="A9" s="80">
        <v>1</v>
      </c>
      <c r="B9" s="81" t="s">
        <v>77</v>
      </c>
      <c r="C9" s="82">
        <v>301</v>
      </c>
      <c r="D9" s="83">
        <f>$D$8*C9</f>
        <v>546014</v>
      </c>
      <c r="E9" s="83">
        <v>29000</v>
      </c>
      <c r="F9" s="84">
        <f>$F$8*C9/$C$18</f>
        <v>519896.64627659577</v>
      </c>
      <c r="G9" s="85">
        <f>F9+E9</f>
        <v>548896.64627659577</v>
      </c>
      <c r="H9" s="83">
        <f>G9</f>
        <v>548896.64627659577</v>
      </c>
      <c r="I9" s="82">
        <v>3</v>
      </c>
      <c r="J9" s="83">
        <f t="shared" ref="J9:J17" si="0">I9*$J$8</f>
        <v>1308</v>
      </c>
      <c r="K9" s="83"/>
      <c r="L9" s="83">
        <f t="shared" ref="L9:L17" si="1">K9*$L$8</f>
        <v>0</v>
      </c>
      <c r="M9" s="82">
        <f t="shared" ref="M9:M17" si="2">C9</f>
        <v>301</v>
      </c>
      <c r="N9" s="83">
        <f t="shared" ref="N9:N17" si="3">M9*$N$8</f>
        <v>7525</v>
      </c>
      <c r="O9" s="83"/>
      <c r="P9" s="83">
        <f t="shared" ref="P9:P17" si="4">O9*$P$8</f>
        <v>0</v>
      </c>
      <c r="Q9" s="87">
        <v>301</v>
      </c>
      <c r="R9" s="87">
        <f t="shared" ref="R9:R17" si="5">Q9*$R$8</f>
        <v>26187</v>
      </c>
      <c r="S9" s="88"/>
      <c r="T9" s="89">
        <f>S9*$T$8</f>
        <v>0</v>
      </c>
      <c r="U9" s="83"/>
      <c r="V9" s="90">
        <f t="shared" ref="V9:V17" si="6">U9*$V$8</f>
        <v>0</v>
      </c>
      <c r="W9" s="160">
        <f>H9+J9+L9++N9+R9+T9+V9+P9</f>
        <v>583916.64627659577</v>
      </c>
      <c r="X9" s="177">
        <v>1</v>
      </c>
      <c r="Y9" s="177">
        <f>X9*$Y$8</f>
        <v>359</v>
      </c>
      <c r="Z9" s="177"/>
      <c r="AA9" s="177">
        <f t="shared" ref="AA9:AA10" si="7">Z9*$AA$8</f>
        <v>0</v>
      </c>
      <c r="AB9" s="190">
        <f>SUM(Y9,)+AA9</f>
        <v>359</v>
      </c>
      <c r="AC9" s="190">
        <f>W9+AB9</f>
        <v>584275.64627659577</v>
      </c>
      <c r="AD9" s="188">
        <v>0</v>
      </c>
      <c r="AE9" s="184">
        <f>AD9*$AE$8</f>
        <v>0</v>
      </c>
      <c r="AF9" s="184">
        <v>0</v>
      </c>
      <c r="AG9" s="183">
        <f>AF9*$AG$8</f>
        <v>0</v>
      </c>
      <c r="AH9" s="183">
        <v>0</v>
      </c>
      <c r="AI9" s="183">
        <f>AH9*$AI$8</f>
        <v>0</v>
      </c>
      <c r="AJ9" s="186">
        <f>SUM(AE9,AG9,AI9)</f>
        <v>0</v>
      </c>
      <c r="AK9" s="205">
        <v>0</v>
      </c>
      <c r="AL9" s="185">
        <f>AK9*$AL$8</f>
        <v>0</v>
      </c>
      <c r="AM9" s="216">
        <f t="shared" ref="AM9:AM17" si="8">SUM(W9,Y9,AJ9)</f>
        <v>584275.64627659577</v>
      </c>
      <c r="AN9" s="202"/>
    </row>
    <row r="10" spans="1:40" ht="33.75" customHeight="1" x14ac:dyDescent="0.2">
      <c r="A10" s="31">
        <v>2</v>
      </c>
      <c r="B10" s="18" t="s">
        <v>78</v>
      </c>
      <c r="C10" s="19">
        <v>412</v>
      </c>
      <c r="D10" s="20">
        <f t="shared" ref="D10:D17" si="9">$D$8*C10</f>
        <v>747368</v>
      </c>
      <c r="E10" s="20">
        <v>29000</v>
      </c>
      <c r="F10" s="21">
        <f t="shared" ref="F10:F17" si="10">$F$8*C10/$C$18</f>
        <v>711619.32978723408</v>
      </c>
      <c r="G10" s="22">
        <f t="shared" ref="G10:G17" si="11">F10+E10</f>
        <v>740619.32978723408</v>
      </c>
      <c r="H10" s="20">
        <f t="shared" ref="H10:H17" si="12">G10</f>
        <v>740619.32978723408</v>
      </c>
      <c r="I10" s="19">
        <v>3</v>
      </c>
      <c r="J10" s="20">
        <f t="shared" si="0"/>
        <v>1308</v>
      </c>
      <c r="K10" s="23"/>
      <c r="L10" s="20">
        <f t="shared" si="1"/>
        <v>0</v>
      </c>
      <c r="M10" s="19">
        <f t="shared" si="2"/>
        <v>412</v>
      </c>
      <c r="N10" s="20">
        <f t="shared" si="3"/>
        <v>10300</v>
      </c>
      <c r="O10" s="20"/>
      <c r="P10" s="20">
        <f t="shared" si="4"/>
        <v>0</v>
      </c>
      <c r="Q10" s="24">
        <v>329</v>
      </c>
      <c r="R10" s="24">
        <f t="shared" si="5"/>
        <v>28623</v>
      </c>
      <c r="S10" s="25"/>
      <c r="T10" s="26">
        <f>S10*$T$8</f>
        <v>0</v>
      </c>
      <c r="U10" s="20"/>
      <c r="V10" s="78">
        <f t="shared" si="6"/>
        <v>0</v>
      </c>
      <c r="W10" s="160">
        <f t="shared" ref="W10:W19" si="13">H10+J10+L10++N10+R10+T10+V10+P10</f>
        <v>780850.32978723408</v>
      </c>
      <c r="X10" s="182"/>
      <c r="Y10" s="182">
        <f t="shared" ref="Y10:Y17" si="14">X10*$Y$8</f>
        <v>0</v>
      </c>
      <c r="Z10" s="182"/>
      <c r="AA10" s="177">
        <f t="shared" si="7"/>
        <v>0</v>
      </c>
      <c r="AB10" s="190">
        <f t="shared" ref="AB10:AB17" si="15">SUM(Y10,)+AA10</f>
        <v>0</v>
      </c>
      <c r="AC10" s="190">
        <f t="shared" ref="AC10:AC18" si="16">W10+AB10</f>
        <v>780850.32978723408</v>
      </c>
      <c r="AD10" s="189">
        <v>0</v>
      </c>
      <c r="AE10" s="179">
        <f t="shared" ref="AE10:AE17" si="17">AD10*$AE$8</f>
        <v>0</v>
      </c>
      <c r="AF10" s="179">
        <v>0</v>
      </c>
      <c r="AG10" s="178">
        <f t="shared" ref="AG10:AG17" si="18">AF10*$AG$8</f>
        <v>0</v>
      </c>
      <c r="AH10" s="178">
        <v>0</v>
      </c>
      <c r="AI10" s="178">
        <f t="shared" ref="AI10:AI18" si="19">AH10*$AI$8</f>
        <v>0</v>
      </c>
      <c r="AJ10" s="186">
        <f t="shared" ref="AJ10:AJ20" si="20">SUM(AE10,AG10,AI10)</f>
        <v>0</v>
      </c>
      <c r="AK10" s="208">
        <v>0</v>
      </c>
      <c r="AL10" s="207">
        <f t="shared" ref="AL10:AL16" si="21">AK10*$AL$8</f>
        <v>0</v>
      </c>
      <c r="AM10" s="216">
        <f t="shared" si="8"/>
        <v>780850.32978723408</v>
      </c>
      <c r="AN10" s="202"/>
    </row>
    <row r="11" spans="1:40" ht="29.25" customHeight="1" x14ac:dyDescent="0.2">
      <c r="A11" s="92">
        <v>3</v>
      </c>
      <c r="B11" s="81" t="s">
        <v>75</v>
      </c>
      <c r="C11" s="82">
        <v>588</v>
      </c>
      <c r="D11" s="83">
        <f t="shared" si="9"/>
        <v>1066632</v>
      </c>
      <c r="E11" s="83">
        <v>29000</v>
      </c>
      <c r="F11" s="84">
        <f t="shared" si="10"/>
        <v>1015612.0531914893</v>
      </c>
      <c r="G11" s="85">
        <f t="shared" si="11"/>
        <v>1044612.0531914893</v>
      </c>
      <c r="H11" s="83">
        <f t="shared" si="12"/>
        <v>1044612.0531914893</v>
      </c>
      <c r="I11" s="82">
        <v>7</v>
      </c>
      <c r="J11" s="83">
        <f t="shared" si="0"/>
        <v>3052</v>
      </c>
      <c r="K11" s="83"/>
      <c r="L11" s="83">
        <f t="shared" si="1"/>
        <v>0</v>
      </c>
      <c r="M11" s="82">
        <v>585</v>
      </c>
      <c r="N11" s="83">
        <f t="shared" si="3"/>
        <v>14625</v>
      </c>
      <c r="O11" s="83">
        <v>3</v>
      </c>
      <c r="P11" s="83">
        <f t="shared" si="4"/>
        <v>3027</v>
      </c>
      <c r="Q11" s="87">
        <v>143</v>
      </c>
      <c r="R11" s="87">
        <f t="shared" si="5"/>
        <v>12441</v>
      </c>
      <c r="S11" s="93">
        <v>294</v>
      </c>
      <c r="T11" s="83">
        <f>S11*$T$8</f>
        <v>21168</v>
      </c>
      <c r="U11" s="83">
        <v>327</v>
      </c>
      <c r="V11" s="90">
        <f t="shared" si="6"/>
        <v>217455</v>
      </c>
      <c r="W11" s="160">
        <f>H11+J11+L11++N11+R11+T11+V11+P11</f>
        <v>1316380.0531914893</v>
      </c>
      <c r="X11" s="177">
        <v>33</v>
      </c>
      <c r="Y11" s="177">
        <f>X11*$Y$8</f>
        <v>11847</v>
      </c>
      <c r="Z11" s="177">
        <v>33</v>
      </c>
      <c r="AA11" s="177">
        <f>Z11*$AA$8</f>
        <v>81708</v>
      </c>
      <c r="AB11" s="190">
        <f t="shared" si="15"/>
        <v>93555</v>
      </c>
      <c r="AC11" s="190">
        <f t="shared" si="16"/>
        <v>1409935.0531914893</v>
      </c>
      <c r="AD11" s="188">
        <v>0</v>
      </c>
      <c r="AE11" s="184">
        <f t="shared" si="17"/>
        <v>0</v>
      </c>
      <c r="AF11" s="184">
        <v>1</v>
      </c>
      <c r="AG11" s="183">
        <f t="shared" si="18"/>
        <v>5000</v>
      </c>
      <c r="AH11" s="183">
        <v>0</v>
      </c>
      <c r="AI11" s="183">
        <f t="shared" si="19"/>
        <v>0</v>
      </c>
      <c r="AJ11" s="186">
        <f t="shared" si="20"/>
        <v>5000</v>
      </c>
      <c r="AK11" s="205">
        <v>0</v>
      </c>
      <c r="AL11" s="185">
        <f t="shared" si="21"/>
        <v>0</v>
      </c>
      <c r="AM11" s="216">
        <f t="shared" si="8"/>
        <v>1333227.0531914893</v>
      </c>
      <c r="AN11" s="202"/>
    </row>
    <row r="12" spans="1:40" ht="25.5" customHeight="1" x14ac:dyDescent="0.2">
      <c r="A12" s="17">
        <v>4</v>
      </c>
      <c r="B12" s="18" t="s">
        <v>76</v>
      </c>
      <c r="C12" s="19">
        <v>415</v>
      </c>
      <c r="D12" s="20">
        <f t="shared" si="9"/>
        <v>752810</v>
      </c>
      <c r="E12" s="20">
        <v>29000</v>
      </c>
      <c r="F12" s="21">
        <f t="shared" si="10"/>
        <v>716801.02393617027</v>
      </c>
      <c r="G12" s="22">
        <f t="shared" si="11"/>
        <v>745801.02393617027</v>
      </c>
      <c r="H12" s="20">
        <f t="shared" si="12"/>
        <v>745801.02393617027</v>
      </c>
      <c r="I12" s="19"/>
      <c r="J12" s="20">
        <f t="shared" si="0"/>
        <v>0</v>
      </c>
      <c r="K12" s="20">
        <v>1</v>
      </c>
      <c r="L12" s="20">
        <f t="shared" si="1"/>
        <v>3592</v>
      </c>
      <c r="M12" s="19">
        <f t="shared" si="2"/>
        <v>415</v>
      </c>
      <c r="N12" s="20">
        <f t="shared" si="3"/>
        <v>10375</v>
      </c>
      <c r="O12" s="20"/>
      <c r="P12" s="20">
        <f t="shared" si="4"/>
        <v>0</v>
      </c>
      <c r="Q12" s="24"/>
      <c r="R12" s="24">
        <f t="shared" si="5"/>
        <v>0</v>
      </c>
      <c r="S12" s="32">
        <v>229</v>
      </c>
      <c r="T12" s="20">
        <f t="shared" ref="T12:T17" si="22">S12*$T$8</f>
        <v>16488</v>
      </c>
      <c r="U12" s="20">
        <v>229</v>
      </c>
      <c r="V12" s="78">
        <f t="shared" si="6"/>
        <v>152285</v>
      </c>
      <c r="W12" s="160">
        <f t="shared" si="13"/>
        <v>928541.02393617027</v>
      </c>
      <c r="X12" s="182">
        <v>15</v>
      </c>
      <c r="Y12" s="182">
        <f t="shared" si="14"/>
        <v>5385</v>
      </c>
      <c r="Z12" s="182">
        <v>15</v>
      </c>
      <c r="AA12" s="177">
        <f t="shared" ref="AA12:AA17" si="23">Z12*$AA$8</f>
        <v>37140</v>
      </c>
      <c r="AB12" s="190">
        <f t="shared" si="15"/>
        <v>42525</v>
      </c>
      <c r="AC12" s="190">
        <f t="shared" si="16"/>
        <v>971066.02393617027</v>
      </c>
      <c r="AD12" s="189">
        <v>1</v>
      </c>
      <c r="AE12" s="179">
        <f t="shared" si="17"/>
        <v>3000</v>
      </c>
      <c r="AF12" s="179">
        <v>0</v>
      </c>
      <c r="AG12" s="178">
        <f t="shared" si="18"/>
        <v>0</v>
      </c>
      <c r="AH12" s="178">
        <v>0</v>
      </c>
      <c r="AI12" s="178">
        <f t="shared" si="19"/>
        <v>0</v>
      </c>
      <c r="AJ12" s="186">
        <f t="shared" si="20"/>
        <v>3000</v>
      </c>
      <c r="AK12" s="208">
        <v>0</v>
      </c>
      <c r="AL12" s="207">
        <f t="shared" si="21"/>
        <v>0</v>
      </c>
      <c r="AM12" s="216">
        <f t="shared" si="8"/>
        <v>936926.02393617027</v>
      </c>
      <c r="AN12" s="202"/>
    </row>
    <row r="13" spans="1:40" ht="33.950000000000003" customHeight="1" x14ac:dyDescent="0.2">
      <c r="A13" s="80">
        <v>5</v>
      </c>
      <c r="B13" s="94" t="s">
        <v>79</v>
      </c>
      <c r="C13" s="87">
        <v>405</v>
      </c>
      <c r="D13" s="83">
        <f t="shared" si="9"/>
        <v>734670</v>
      </c>
      <c r="E13" s="83">
        <v>29000</v>
      </c>
      <c r="F13" s="84">
        <f t="shared" si="10"/>
        <v>699528.71010638296</v>
      </c>
      <c r="G13" s="84">
        <f t="shared" si="11"/>
        <v>728528.71010638296</v>
      </c>
      <c r="H13" s="83">
        <f t="shared" si="12"/>
        <v>728528.71010638296</v>
      </c>
      <c r="I13" s="87"/>
      <c r="J13" s="88">
        <f t="shared" si="0"/>
        <v>0</v>
      </c>
      <c r="K13" s="88">
        <v>4</v>
      </c>
      <c r="L13" s="83">
        <f t="shared" si="1"/>
        <v>14368</v>
      </c>
      <c r="M13" s="87">
        <f t="shared" si="2"/>
        <v>405</v>
      </c>
      <c r="N13" s="88">
        <f t="shared" si="3"/>
        <v>10125</v>
      </c>
      <c r="O13" s="88"/>
      <c r="P13" s="83">
        <f t="shared" si="4"/>
        <v>0</v>
      </c>
      <c r="Q13" s="95"/>
      <c r="R13" s="87">
        <f t="shared" si="5"/>
        <v>0</v>
      </c>
      <c r="S13" s="93">
        <v>260</v>
      </c>
      <c r="T13" s="88">
        <f t="shared" si="22"/>
        <v>18720</v>
      </c>
      <c r="U13" s="88">
        <v>337</v>
      </c>
      <c r="V13" s="90">
        <f t="shared" si="6"/>
        <v>224105</v>
      </c>
      <c r="W13" s="160">
        <f t="shared" si="13"/>
        <v>995846.71010638296</v>
      </c>
      <c r="X13" s="177">
        <v>25</v>
      </c>
      <c r="Y13" s="177">
        <f t="shared" si="14"/>
        <v>8975</v>
      </c>
      <c r="Z13" s="177">
        <v>25</v>
      </c>
      <c r="AA13" s="177">
        <f t="shared" si="23"/>
        <v>61900</v>
      </c>
      <c r="AB13" s="190">
        <f t="shared" si="15"/>
        <v>70875</v>
      </c>
      <c r="AC13" s="190">
        <f t="shared" si="16"/>
        <v>1066721.7101063831</v>
      </c>
      <c r="AD13" s="188">
        <v>0</v>
      </c>
      <c r="AE13" s="184">
        <f t="shared" si="17"/>
        <v>0</v>
      </c>
      <c r="AF13" s="184">
        <v>0</v>
      </c>
      <c r="AG13" s="183">
        <f t="shared" si="18"/>
        <v>0</v>
      </c>
      <c r="AH13" s="183">
        <v>1</v>
      </c>
      <c r="AI13" s="183">
        <f t="shared" si="19"/>
        <v>6000</v>
      </c>
      <c r="AJ13" s="186">
        <f t="shared" si="20"/>
        <v>6000</v>
      </c>
      <c r="AK13" s="205">
        <v>0</v>
      </c>
      <c r="AL13" s="185">
        <f t="shared" si="21"/>
        <v>0</v>
      </c>
      <c r="AM13" s="216">
        <f t="shared" si="8"/>
        <v>1010821.710106383</v>
      </c>
      <c r="AN13" s="202"/>
    </row>
    <row r="14" spans="1:40" ht="25.5" customHeight="1" x14ac:dyDescent="0.2">
      <c r="A14" s="31">
        <v>6</v>
      </c>
      <c r="B14" s="18" t="s">
        <v>80</v>
      </c>
      <c r="C14" s="19">
        <v>648</v>
      </c>
      <c r="D14" s="20">
        <f t="shared" si="9"/>
        <v>1175472</v>
      </c>
      <c r="E14" s="20">
        <v>29000</v>
      </c>
      <c r="F14" s="21">
        <f t="shared" si="10"/>
        <v>1119245.9361702127</v>
      </c>
      <c r="G14" s="22">
        <f t="shared" si="11"/>
        <v>1148245.9361702127</v>
      </c>
      <c r="H14" s="20">
        <f t="shared" si="12"/>
        <v>1148245.9361702127</v>
      </c>
      <c r="I14" s="19"/>
      <c r="J14" s="20">
        <f t="shared" si="0"/>
        <v>0</v>
      </c>
      <c r="K14" s="20"/>
      <c r="L14" s="20">
        <f t="shared" si="1"/>
        <v>0</v>
      </c>
      <c r="M14" s="19">
        <f t="shared" si="2"/>
        <v>648</v>
      </c>
      <c r="N14" s="20">
        <f t="shared" si="3"/>
        <v>16200</v>
      </c>
      <c r="O14" s="20"/>
      <c r="P14" s="20">
        <f t="shared" si="4"/>
        <v>0</v>
      </c>
      <c r="Q14" s="33"/>
      <c r="R14" s="24">
        <f t="shared" si="5"/>
        <v>0</v>
      </c>
      <c r="S14" s="32">
        <v>420</v>
      </c>
      <c r="T14" s="20">
        <f t="shared" si="22"/>
        <v>30240</v>
      </c>
      <c r="U14" s="20">
        <v>504</v>
      </c>
      <c r="V14" s="78">
        <f t="shared" si="6"/>
        <v>335160</v>
      </c>
      <c r="W14" s="160">
        <f t="shared" si="13"/>
        <v>1529845.9361702127</v>
      </c>
      <c r="X14" s="182">
        <v>15</v>
      </c>
      <c r="Y14" s="182">
        <f t="shared" si="14"/>
        <v>5385</v>
      </c>
      <c r="Z14" s="182">
        <v>15</v>
      </c>
      <c r="AA14" s="177">
        <f t="shared" si="23"/>
        <v>37140</v>
      </c>
      <c r="AB14" s="190">
        <f t="shared" si="15"/>
        <v>42525</v>
      </c>
      <c r="AC14" s="190">
        <f t="shared" si="16"/>
        <v>1572370.9361702127</v>
      </c>
      <c r="AD14" s="189">
        <v>0</v>
      </c>
      <c r="AE14" s="179">
        <f t="shared" si="17"/>
        <v>0</v>
      </c>
      <c r="AF14" s="179">
        <v>0</v>
      </c>
      <c r="AG14" s="178">
        <f t="shared" si="18"/>
        <v>0</v>
      </c>
      <c r="AH14" s="178">
        <v>1</v>
      </c>
      <c r="AI14" s="178">
        <f t="shared" si="19"/>
        <v>6000</v>
      </c>
      <c r="AJ14" s="186">
        <f t="shared" si="20"/>
        <v>6000</v>
      </c>
      <c r="AK14" s="208">
        <v>0</v>
      </c>
      <c r="AL14" s="207">
        <f t="shared" si="21"/>
        <v>0</v>
      </c>
      <c r="AM14" s="216">
        <f t="shared" si="8"/>
        <v>1541230.9361702127</v>
      </c>
      <c r="AN14" s="202"/>
    </row>
    <row r="15" spans="1:40" ht="34.5" customHeight="1" x14ac:dyDescent="0.2">
      <c r="A15" s="80">
        <v>7</v>
      </c>
      <c r="B15" s="81" t="s">
        <v>81</v>
      </c>
      <c r="C15" s="82">
        <v>66</v>
      </c>
      <c r="D15" s="83">
        <f t="shared" si="9"/>
        <v>119724</v>
      </c>
      <c r="E15" s="83">
        <v>29000</v>
      </c>
      <c r="F15" s="84">
        <f t="shared" si="10"/>
        <v>113997.27127659574</v>
      </c>
      <c r="G15" s="85">
        <f t="shared" si="11"/>
        <v>142997.27127659574</v>
      </c>
      <c r="H15" s="83">
        <f t="shared" si="12"/>
        <v>142997.27127659574</v>
      </c>
      <c r="I15" s="82">
        <v>21</v>
      </c>
      <c r="J15" s="83">
        <f t="shared" si="0"/>
        <v>9156</v>
      </c>
      <c r="K15" s="86"/>
      <c r="L15" s="83">
        <f t="shared" si="1"/>
        <v>0</v>
      </c>
      <c r="M15" s="82">
        <f t="shared" si="2"/>
        <v>66</v>
      </c>
      <c r="N15" s="83">
        <f t="shared" si="3"/>
        <v>1650</v>
      </c>
      <c r="O15" s="83"/>
      <c r="P15" s="83">
        <f t="shared" si="4"/>
        <v>0</v>
      </c>
      <c r="Q15" s="95"/>
      <c r="R15" s="87">
        <f t="shared" si="5"/>
        <v>0</v>
      </c>
      <c r="S15" s="96">
        <v>34</v>
      </c>
      <c r="T15" s="83">
        <f t="shared" si="22"/>
        <v>2448</v>
      </c>
      <c r="U15" s="83">
        <v>50</v>
      </c>
      <c r="V15" s="90">
        <f t="shared" si="6"/>
        <v>33250</v>
      </c>
      <c r="W15" s="160">
        <f t="shared" si="13"/>
        <v>189501.27127659574</v>
      </c>
      <c r="X15" s="177">
        <v>5</v>
      </c>
      <c r="Y15" s="177">
        <f t="shared" si="14"/>
        <v>1795</v>
      </c>
      <c r="Z15" s="177">
        <v>5</v>
      </c>
      <c r="AA15" s="177">
        <f t="shared" si="23"/>
        <v>12380</v>
      </c>
      <c r="AB15" s="190">
        <f t="shared" si="15"/>
        <v>14175</v>
      </c>
      <c r="AC15" s="190">
        <f t="shared" si="16"/>
        <v>203676.27127659574</v>
      </c>
      <c r="AD15" s="188">
        <v>0</v>
      </c>
      <c r="AE15" s="184">
        <f t="shared" si="17"/>
        <v>0</v>
      </c>
      <c r="AF15" s="184">
        <v>1</v>
      </c>
      <c r="AG15" s="183">
        <f t="shared" si="18"/>
        <v>5000</v>
      </c>
      <c r="AH15" s="183">
        <v>0</v>
      </c>
      <c r="AI15" s="183">
        <f t="shared" si="19"/>
        <v>0</v>
      </c>
      <c r="AJ15" s="186">
        <f t="shared" si="20"/>
        <v>5000</v>
      </c>
      <c r="AK15" s="205">
        <v>0</v>
      </c>
      <c r="AL15" s="185">
        <f t="shared" si="21"/>
        <v>0</v>
      </c>
      <c r="AM15" s="216">
        <f t="shared" si="8"/>
        <v>196296.27127659574</v>
      </c>
      <c r="AN15" s="202"/>
    </row>
    <row r="16" spans="1:40" ht="35.25" customHeight="1" x14ac:dyDescent="0.2">
      <c r="A16" s="17">
        <v>8</v>
      </c>
      <c r="B16" s="18" t="s">
        <v>82</v>
      </c>
      <c r="C16" s="19">
        <v>133</v>
      </c>
      <c r="D16" s="20">
        <f t="shared" si="9"/>
        <v>241262</v>
      </c>
      <c r="E16" s="20">
        <v>29000</v>
      </c>
      <c r="F16" s="21">
        <f t="shared" si="10"/>
        <v>229721.77393617021</v>
      </c>
      <c r="G16" s="22">
        <f t="shared" si="11"/>
        <v>258721.77393617021</v>
      </c>
      <c r="H16" s="20">
        <f t="shared" si="12"/>
        <v>258721.77393617021</v>
      </c>
      <c r="I16" s="19">
        <v>13</v>
      </c>
      <c r="J16" s="20">
        <f t="shared" si="0"/>
        <v>5668</v>
      </c>
      <c r="K16" s="23"/>
      <c r="L16" s="20">
        <f t="shared" si="1"/>
        <v>0</v>
      </c>
      <c r="M16" s="19">
        <f t="shared" si="2"/>
        <v>133</v>
      </c>
      <c r="N16" s="20">
        <f t="shared" si="3"/>
        <v>3325</v>
      </c>
      <c r="O16" s="20"/>
      <c r="P16" s="20">
        <f t="shared" si="4"/>
        <v>0</v>
      </c>
      <c r="Q16" s="24"/>
      <c r="R16" s="24">
        <f t="shared" si="5"/>
        <v>0</v>
      </c>
      <c r="S16" s="32">
        <v>71</v>
      </c>
      <c r="T16" s="20">
        <f t="shared" si="22"/>
        <v>5112</v>
      </c>
      <c r="U16" s="20">
        <v>133</v>
      </c>
      <c r="V16" s="78">
        <f t="shared" si="6"/>
        <v>88445</v>
      </c>
      <c r="W16" s="160">
        <f t="shared" si="13"/>
        <v>361271.77393617021</v>
      </c>
      <c r="X16" s="182">
        <v>1</v>
      </c>
      <c r="Y16" s="182">
        <f t="shared" si="14"/>
        <v>359</v>
      </c>
      <c r="Z16" s="182"/>
      <c r="AA16" s="177">
        <f t="shared" si="23"/>
        <v>0</v>
      </c>
      <c r="AB16" s="190">
        <f t="shared" si="15"/>
        <v>359</v>
      </c>
      <c r="AC16" s="190">
        <f t="shared" si="16"/>
        <v>361630.77393617021</v>
      </c>
      <c r="AD16" s="189">
        <v>0</v>
      </c>
      <c r="AE16" s="179">
        <f t="shared" si="17"/>
        <v>0</v>
      </c>
      <c r="AF16" s="179">
        <v>1</v>
      </c>
      <c r="AG16" s="178">
        <f t="shared" si="18"/>
        <v>5000</v>
      </c>
      <c r="AH16" s="178">
        <v>2</v>
      </c>
      <c r="AI16" s="178">
        <f t="shared" si="19"/>
        <v>12000</v>
      </c>
      <c r="AJ16" s="186">
        <f t="shared" si="20"/>
        <v>17000</v>
      </c>
      <c r="AK16" s="208">
        <v>0</v>
      </c>
      <c r="AL16" s="207">
        <f t="shared" si="21"/>
        <v>0</v>
      </c>
      <c r="AM16" s="216">
        <f t="shared" si="8"/>
        <v>378630.77393617021</v>
      </c>
      <c r="AN16" s="202"/>
    </row>
    <row r="17" spans="1:41" ht="34.5" customHeight="1" thickBot="1" x14ac:dyDescent="0.25">
      <c r="A17" s="219">
        <v>9</v>
      </c>
      <c r="B17" s="220" t="s">
        <v>83</v>
      </c>
      <c r="C17" s="221">
        <v>40</v>
      </c>
      <c r="D17" s="222">
        <f t="shared" si="9"/>
        <v>72560</v>
      </c>
      <c r="E17" s="222">
        <v>29000</v>
      </c>
      <c r="F17" s="223">
        <f t="shared" si="10"/>
        <v>69089.255319148942</v>
      </c>
      <c r="G17" s="224">
        <f t="shared" si="11"/>
        <v>98089.255319148942</v>
      </c>
      <c r="H17" s="222">
        <f t="shared" si="12"/>
        <v>98089.255319148942</v>
      </c>
      <c r="I17" s="221">
        <v>26</v>
      </c>
      <c r="J17" s="222">
        <f t="shared" si="0"/>
        <v>11336</v>
      </c>
      <c r="K17" s="225"/>
      <c r="L17" s="222">
        <f t="shared" si="1"/>
        <v>0</v>
      </c>
      <c r="M17" s="221">
        <f t="shared" si="2"/>
        <v>40</v>
      </c>
      <c r="N17" s="222">
        <f t="shared" si="3"/>
        <v>1000</v>
      </c>
      <c r="O17" s="222"/>
      <c r="P17" s="222">
        <f t="shared" si="4"/>
        <v>0</v>
      </c>
      <c r="Q17" s="226"/>
      <c r="R17" s="226">
        <f t="shared" si="5"/>
        <v>0</v>
      </c>
      <c r="S17" s="227">
        <v>26</v>
      </c>
      <c r="T17" s="222">
        <f t="shared" si="22"/>
        <v>1872</v>
      </c>
      <c r="U17" s="222">
        <v>40</v>
      </c>
      <c r="V17" s="228">
        <f t="shared" si="6"/>
        <v>26600</v>
      </c>
      <c r="W17" s="229">
        <f t="shared" si="13"/>
        <v>138897.25531914894</v>
      </c>
      <c r="X17" s="230">
        <v>9</v>
      </c>
      <c r="Y17" s="230">
        <f t="shared" si="14"/>
        <v>3231</v>
      </c>
      <c r="Z17" s="230"/>
      <c r="AA17" s="177">
        <f t="shared" si="23"/>
        <v>0</v>
      </c>
      <c r="AB17" s="190">
        <f t="shared" si="15"/>
        <v>3231</v>
      </c>
      <c r="AC17" s="190">
        <f t="shared" si="16"/>
        <v>142128.25531914894</v>
      </c>
      <c r="AD17" s="231">
        <v>0</v>
      </c>
      <c r="AE17" s="232">
        <f t="shared" si="17"/>
        <v>0</v>
      </c>
      <c r="AF17" s="232">
        <v>0</v>
      </c>
      <c r="AG17" s="233">
        <f t="shared" si="18"/>
        <v>0</v>
      </c>
      <c r="AH17" s="233">
        <v>0</v>
      </c>
      <c r="AI17" s="233">
        <f t="shared" si="19"/>
        <v>0</v>
      </c>
      <c r="AJ17" s="234">
        <f t="shared" si="20"/>
        <v>0</v>
      </c>
      <c r="AK17" s="235">
        <v>0</v>
      </c>
      <c r="AL17" s="236">
        <f>AK17*$AL$8</f>
        <v>0</v>
      </c>
      <c r="AM17" s="237">
        <f t="shared" si="8"/>
        <v>142128.25531914894</v>
      </c>
      <c r="AN17" s="202"/>
    </row>
    <row r="18" spans="1:41" ht="18" customHeight="1" thickBot="1" x14ac:dyDescent="0.25">
      <c r="A18" s="488" t="s">
        <v>24</v>
      </c>
      <c r="B18" s="489"/>
      <c r="C18" s="238">
        <f t="shared" ref="C18:H18" si="24">SUM(C9:C17)</f>
        <v>3008</v>
      </c>
      <c r="D18" s="239">
        <f>SUM(D9:D17)</f>
        <v>5456512</v>
      </c>
      <c r="E18" s="239">
        <f>SUM(E9:E17)</f>
        <v>261000</v>
      </c>
      <c r="F18" s="240">
        <f t="shared" si="24"/>
        <v>5195512.0000000009</v>
      </c>
      <c r="G18" s="241">
        <f t="shared" si="24"/>
        <v>5456512.0000000009</v>
      </c>
      <c r="H18" s="239">
        <f t="shared" si="24"/>
        <v>5456512.0000000009</v>
      </c>
      <c r="I18" s="238">
        <f>SUM(I9:I17)</f>
        <v>73</v>
      </c>
      <c r="J18" s="239">
        <f>SUM(J9:J17)</f>
        <v>31828</v>
      </c>
      <c r="K18" s="238">
        <f t="shared" ref="K18:V18" si="25">SUM(K9:K17)</f>
        <v>5</v>
      </c>
      <c r="L18" s="238">
        <f t="shared" si="25"/>
        <v>17960</v>
      </c>
      <c r="M18" s="239">
        <f t="shared" si="25"/>
        <v>3005</v>
      </c>
      <c r="N18" s="239">
        <f>SUM(N9:N17)</f>
        <v>75125</v>
      </c>
      <c r="O18" s="239">
        <f>SUM(O9:O17)</f>
        <v>3</v>
      </c>
      <c r="P18" s="239">
        <f>SUM(P9:P17)</f>
        <v>3027</v>
      </c>
      <c r="Q18" s="242">
        <f>SUM(Q9:Q17)</f>
        <v>773</v>
      </c>
      <c r="R18" s="242">
        <f t="shared" si="25"/>
        <v>67251</v>
      </c>
      <c r="S18" s="242">
        <f t="shared" si="25"/>
        <v>1334</v>
      </c>
      <c r="T18" s="239">
        <f t="shared" si="25"/>
        <v>96048</v>
      </c>
      <c r="U18" s="239">
        <f t="shared" si="25"/>
        <v>1620</v>
      </c>
      <c r="V18" s="243">
        <f t="shared" si="25"/>
        <v>1077300</v>
      </c>
      <c r="W18" s="244">
        <f>H18+J18+L18++N18+R18+T18+V18+P18</f>
        <v>6825051.0000000009</v>
      </c>
      <c r="X18" s="245">
        <f>SUM(X9:X17)</f>
        <v>104</v>
      </c>
      <c r="Y18" s="246">
        <f>X18*$Y$8</f>
        <v>37336</v>
      </c>
      <c r="Z18" s="245">
        <f>SUM(Z9:Z17)</f>
        <v>93</v>
      </c>
      <c r="AA18" s="245">
        <f>SUM(AA9:AA17)</f>
        <v>230268</v>
      </c>
      <c r="AB18" s="247">
        <f>SUM(AB9:AB17)</f>
        <v>267604</v>
      </c>
      <c r="AC18" s="361">
        <f t="shared" si="16"/>
        <v>7092655.0000000009</v>
      </c>
      <c r="AD18" s="248">
        <f>SUM(AD9:AD17)</f>
        <v>1</v>
      </c>
      <c r="AE18" s="249">
        <f>SUM(AE9:AE17)</f>
        <v>3000</v>
      </c>
      <c r="AF18" s="249">
        <f>SUM(AF9:AF17)</f>
        <v>3</v>
      </c>
      <c r="AG18" s="249">
        <f>SUM(AG9:AG17)</f>
        <v>15000</v>
      </c>
      <c r="AH18" s="249">
        <f>SUM(AH9:AH17)</f>
        <v>4</v>
      </c>
      <c r="AI18" s="249">
        <f t="shared" si="19"/>
        <v>24000</v>
      </c>
      <c r="AJ18" s="250">
        <f t="shared" si="20"/>
        <v>42000</v>
      </c>
      <c r="AK18" s="251">
        <f>SUM(AK9:AK17)</f>
        <v>0</v>
      </c>
      <c r="AL18" s="251">
        <f>SUM(AL9:AL17)</f>
        <v>0</v>
      </c>
      <c r="AM18" s="252">
        <f>SUM(W18,AB18,AJ18)</f>
        <v>7134655.0000000009</v>
      </c>
      <c r="AN18" s="202"/>
      <c r="AO18" s="181"/>
    </row>
    <row r="19" spans="1:41" s="209" customFormat="1" ht="16.5" hidden="1" customHeight="1" thickBot="1" x14ac:dyDescent="0.25">
      <c r="A19" s="269">
        <v>10</v>
      </c>
      <c r="B19" s="270" t="s">
        <v>25</v>
      </c>
      <c r="C19" s="271">
        <f>C20-C18</f>
        <v>148</v>
      </c>
      <c r="D19" s="272">
        <f>D20-D18</f>
        <v>268472</v>
      </c>
      <c r="E19" s="273"/>
      <c r="F19" s="273"/>
      <c r="G19" s="273"/>
      <c r="H19" s="274">
        <f t="shared" ref="H19:V19" si="26">H20-H18</f>
        <v>268471.99999999907</v>
      </c>
      <c r="I19" s="274">
        <f t="shared" si="26"/>
        <v>25</v>
      </c>
      <c r="J19" s="272">
        <f t="shared" si="26"/>
        <v>10900</v>
      </c>
      <c r="K19" s="274">
        <f t="shared" si="26"/>
        <v>-4</v>
      </c>
      <c r="L19" s="272">
        <f t="shared" si="26"/>
        <v>-14368</v>
      </c>
      <c r="M19" s="274">
        <f t="shared" si="26"/>
        <v>151</v>
      </c>
      <c r="N19" s="272">
        <f t="shared" si="26"/>
        <v>3775</v>
      </c>
      <c r="O19" s="274">
        <f t="shared" si="26"/>
        <v>2</v>
      </c>
      <c r="P19" s="272">
        <f t="shared" si="26"/>
        <v>2018</v>
      </c>
      <c r="Q19" s="274">
        <f t="shared" si="26"/>
        <v>-309</v>
      </c>
      <c r="R19" s="274">
        <f t="shared" si="26"/>
        <v>-26883</v>
      </c>
      <c r="S19" s="274">
        <f t="shared" si="26"/>
        <v>-13</v>
      </c>
      <c r="T19" s="274">
        <f t="shared" si="26"/>
        <v>-936</v>
      </c>
      <c r="U19" s="274">
        <f t="shared" si="26"/>
        <v>71</v>
      </c>
      <c r="V19" s="275">
        <f t="shared" si="26"/>
        <v>47215</v>
      </c>
      <c r="W19" s="276">
        <f t="shared" si="13"/>
        <v>290192.99999999907</v>
      </c>
      <c r="X19" s="277">
        <f>X20-X18</f>
        <v>23</v>
      </c>
      <c r="Y19" s="278">
        <f>Y20-Y18</f>
        <v>8257</v>
      </c>
      <c r="Z19" s="278"/>
      <c r="AA19" s="289"/>
      <c r="AB19" s="279">
        <f t="shared" ref="AB19:AB20" si="27">SUM(Y19,)</f>
        <v>8257</v>
      </c>
      <c r="AC19" s="360">
        <f t="shared" ref="AC19:AC20" si="28">W19+AB19</f>
        <v>298449.99999999907</v>
      </c>
      <c r="AD19" s="280"/>
      <c r="AE19" s="281"/>
      <c r="AF19" s="281"/>
      <c r="AG19" s="281"/>
      <c r="AH19" s="281">
        <v>-1</v>
      </c>
      <c r="AI19" s="281">
        <v>-6000</v>
      </c>
      <c r="AJ19" s="282">
        <f>SUM(AE19,AG19,AI19)</f>
        <v>-6000</v>
      </c>
      <c r="AK19" s="283">
        <v>12</v>
      </c>
      <c r="AL19" s="284">
        <v>13404</v>
      </c>
      <c r="AM19" s="285">
        <f>SUM(W19,Y19,AJ19,AL19)</f>
        <v>305853.99999999907</v>
      </c>
      <c r="AN19" s="202"/>
      <c r="AO19" s="181"/>
    </row>
    <row r="20" spans="1:41" s="212" customFormat="1" ht="20.25" hidden="1" customHeight="1" thickBot="1" x14ac:dyDescent="0.3">
      <c r="A20" s="253">
        <v>11</v>
      </c>
      <c r="B20" s="254" t="s">
        <v>26</v>
      </c>
      <c r="C20" s="255">
        <v>3156</v>
      </c>
      <c r="D20" s="255">
        <f>C20*D8</f>
        <v>5724984</v>
      </c>
      <c r="E20" s="256"/>
      <c r="F20" s="257"/>
      <c r="G20" s="257">
        <f>G18+G19</f>
        <v>5456512.0000000009</v>
      </c>
      <c r="H20" s="256">
        <f>D20</f>
        <v>5724984</v>
      </c>
      <c r="I20" s="256">
        <v>98</v>
      </c>
      <c r="J20" s="256">
        <f>I20*J8</f>
        <v>42728</v>
      </c>
      <c r="K20" s="256">
        <v>1</v>
      </c>
      <c r="L20" s="256">
        <f>K20*L8</f>
        <v>3592</v>
      </c>
      <c r="M20" s="256">
        <v>3156</v>
      </c>
      <c r="N20" s="256">
        <f>M20*N8</f>
        <v>78900</v>
      </c>
      <c r="O20" s="256">
        <v>5</v>
      </c>
      <c r="P20" s="256">
        <f>O20*P8</f>
        <v>5045</v>
      </c>
      <c r="Q20" s="256">
        <v>464</v>
      </c>
      <c r="R20" s="256">
        <f>Q20*R8</f>
        <v>40368</v>
      </c>
      <c r="S20" s="256">
        <v>1321</v>
      </c>
      <c r="T20" s="256">
        <f>S20*T8</f>
        <v>95112</v>
      </c>
      <c r="U20" s="256">
        <v>1691</v>
      </c>
      <c r="V20" s="258">
        <f>U20*V8</f>
        <v>1124515</v>
      </c>
      <c r="W20" s="259">
        <f>H20+J20+L20++N20+R20+T20+V20+P20</f>
        <v>7115244</v>
      </c>
      <c r="X20" s="260">
        <v>127</v>
      </c>
      <c r="Y20" s="261">
        <f>X20*$Y$8</f>
        <v>45593</v>
      </c>
      <c r="Z20" s="261"/>
      <c r="AA20" s="290"/>
      <c r="AB20" s="262">
        <f t="shared" si="27"/>
        <v>45593</v>
      </c>
      <c r="AC20" s="346">
        <f t="shared" si="28"/>
        <v>7160837</v>
      </c>
      <c r="AD20" s="263">
        <v>1</v>
      </c>
      <c r="AE20" s="264">
        <v>3000</v>
      </c>
      <c r="AF20" s="264">
        <v>3</v>
      </c>
      <c r="AG20" s="264">
        <v>15000</v>
      </c>
      <c r="AH20" s="264">
        <v>3</v>
      </c>
      <c r="AI20" s="264">
        <v>18000</v>
      </c>
      <c r="AJ20" s="265">
        <f t="shared" si="20"/>
        <v>36000</v>
      </c>
      <c r="AK20" s="266">
        <v>12</v>
      </c>
      <c r="AL20" s="267">
        <f>AK20*AL8</f>
        <v>13404</v>
      </c>
      <c r="AM20" s="268">
        <f>SUM(W20,AB20,AJ20,AL20)</f>
        <v>7210241</v>
      </c>
      <c r="AN20" s="210"/>
      <c r="AO20" s="211"/>
    </row>
    <row r="21" spans="1:41" ht="27" customHeight="1" x14ac:dyDescent="0.2">
      <c r="A21" s="44"/>
      <c r="B21" s="44"/>
      <c r="C21" s="45"/>
      <c r="D21" s="45"/>
      <c r="E21" s="45"/>
      <c r="F21" s="46">
        <f>D18-E18</f>
        <v>5195512</v>
      </c>
      <c r="G21" s="27"/>
      <c r="H21" s="27"/>
      <c r="I21" s="47"/>
      <c r="J21" s="47"/>
      <c r="K21" s="47"/>
      <c r="L21" s="47"/>
      <c r="M21" s="47"/>
      <c r="N21" s="47"/>
      <c r="O21" s="47"/>
      <c r="P21" s="47"/>
      <c r="Q21" s="45"/>
      <c r="R21" s="45"/>
      <c r="S21" s="27"/>
      <c r="T21" s="47"/>
      <c r="U21" s="47"/>
      <c r="V21" s="47"/>
      <c r="W21" s="124"/>
      <c r="X21" s="48"/>
      <c r="Y21" s="6"/>
      <c r="Z21" s="6"/>
      <c r="AA21" s="6"/>
      <c r="AB21" s="114"/>
      <c r="AC21" s="114"/>
      <c r="AM21" s="206"/>
      <c r="AN21" s="206"/>
    </row>
    <row r="22" spans="1:41" ht="15.75" customHeight="1" x14ac:dyDescent="0.25">
      <c r="A22" s="44"/>
      <c r="B22" s="49"/>
      <c r="C22" s="218" t="s">
        <v>89</v>
      </c>
      <c r="D22" s="213"/>
      <c r="E22" s="49"/>
      <c r="F22" s="49"/>
      <c r="G22" s="49"/>
      <c r="H22" s="49"/>
      <c r="I22" s="49"/>
      <c r="J22" s="50"/>
      <c r="K22" s="50"/>
      <c r="L22" s="490"/>
      <c r="M22" s="490"/>
      <c r="N22" s="490"/>
      <c r="O22" s="490"/>
      <c r="P22" s="490"/>
      <c r="Q22" s="490"/>
      <c r="R22" s="490"/>
      <c r="S22" s="49"/>
      <c r="T22" s="215"/>
      <c r="U22" s="214"/>
      <c r="V22" s="214"/>
      <c r="W22" s="214"/>
      <c r="AB22" s="286" t="s">
        <v>88</v>
      </c>
      <c r="AC22" s="286"/>
      <c r="AD22" s="286"/>
      <c r="AE22" s="286"/>
      <c r="AF22" s="286"/>
      <c r="AG22" s="286"/>
      <c r="AH22" s="217"/>
      <c r="AI22" s="217"/>
      <c r="AJ22" s="217"/>
    </row>
    <row r="23" spans="1:41" ht="15.75" customHeight="1" x14ac:dyDescent="0.25">
      <c r="A23" s="44"/>
      <c r="B23" s="49"/>
      <c r="C23" s="49"/>
      <c r="D23" s="143" t="s">
        <v>43</v>
      </c>
      <c r="E23" s="49"/>
      <c r="F23" s="49"/>
      <c r="G23" s="49"/>
      <c r="H23" s="49"/>
      <c r="I23" s="49"/>
      <c r="J23" s="50"/>
      <c r="K23" s="50"/>
      <c r="L23" s="50"/>
      <c r="M23" s="52"/>
      <c r="N23" s="49"/>
      <c r="O23" s="49"/>
      <c r="P23" s="49"/>
      <c r="Q23" s="49"/>
      <c r="R23" s="49"/>
      <c r="S23" s="49"/>
      <c r="T23" s="51"/>
      <c r="U23" s="51"/>
      <c r="V23" s="485"/>
      <c r="W23" s="485"/>
      <c r="AB23" s="217" t="s">
        <v>87</v>
      </c>
      <c r="AC23" s="217"/>
      <c r="AD23" s="217"/>
      <c r="AE23" s="217"/>
      <c r="AF23" s="217"/>
      <c r="AG23" s="217"/>
      <c r="AH23" s="217"/>
      <c r="AI23" s="217"/>
      <c r="AJ23" s="217"/>
    </row>
    <row r="24" spans="1:41" ht="7.5" customHeight="1" x14ac:dyDescent="0.2"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86"/>
      <c r="N24" s="486"/>
      <c r="O24" s="486"/>
      <c r="P24" s="486"/>
      <c r="Q24" s="486"/>
      <c r="R24" s="486"/>
      <c r="S24" s="486"/>
      <c r="T24" s="53"/>
      <c r="U24" s="53"/>
      <c r="V24" s="49"/>
      <c r="W24" s="49"/>
    </row>
    <row r="25" spans="1:41" ht="27" customHeight="1" x14ac:dyDescent="0.25">
      <c r="B25" s="52"/>
      <c r="C25" s="52"/>
      <c r="D25" s="52"/>
      <c r="E25" s="52"/>
      <c r="F25" s="52"/>
      <c r="G25" s="52"/>
      <c r="H25" s="52"/>
      <c r="I25" s="53"/>
      <c r="J25" s="53"/>
      <c r="K25" s="53"/>
      <c r="L25" s="53"/>
      <c r="M25" s="487"/>
      <c r="N25" s="487"/>
      <c r="O25" s="487"/>
      <c r="P25" s="487"/>
      <c r="Q25" s="487"/>
      <c r="R25" s="487"/>
      <c r="S25" s="487"/>
      <c r="T25" s="487"/>
      <c r="U25" s="487"/>
      <c r="V25" s="487"/>
      <c r="W25" s="487"/>
    </row>
    <row r="26" spans="1:41" ht="20.25" customHeight="1" x14ac:dyDescent="0.25">
      <c r="A26" s="10"/>
      <c r="B26" s="54"/>
      <c r="C26" s="54"/>
      <c r="D26" s="54"/>
      <c r="E26" s="54"/>
      <c r="F26" s="54"/>
      <c r="G26" s="54"/>
      <c r="H26" s="54"/>
      <c r="I26" s="55"/>
      <c r="J26" s="55"/>
      <c r="K26" s="55"/>
      <c r="L26" s="55"/>
      <c r="M26" s="56"/>
      <c r="N26" s="483"/>
      <c r="O26" s="483"/>
      <c r="P26" s="483"/>
      <c r="Q26" s="483"/>
      <c r="R26" s="483"/>
      <c r="S26" s="483"/>
      <c r="T26" s="483"/>
      <c r="U26" s="483"/>
      <c r="V26" s="483"/>
      <c r="W26" s="483"/>
    </row>
    <row r="27" spans="1:41" ht="15.75" customHeight="1" x14ac:dyDescent="0.2">
      <c r="A27" s="10"/>
      <c r="B27" s="57"/>
      <c r="C27" s="58"/>
      <c r="D27" s="58"/>
      <c r="E27" s="58"/>
      <c r="F27" s="58"/>
      <c r="G27" s="58"/>
      <c r="H27" s="58"/>
      <c r="I27" s="55"/>
      <c r="J27" s="55"/>
      <c r="K27" s="55"/>
      <c r="L27" s="55"/>
      <c r="M27" s="55"/>
      <c r="N27" s="55"/>
      <c r="O27" s="55"/>
      <c r="P27" s="55"/>
      <c r="Q27" s="55"/>
      <c r="R27" s="55"/>
      <c r="S27" s="484"/>
      <c r="T27" s="484"/>
      <c r="U27" s="484"/>
      <c r="V27" s="484"/>
      <c r="W27" s="484"/>
    </row>
    <row r="28" spans="1:41" x14ac:dyDescent="0.2">
      <c r="A28" s="10"/>
      <c r="B28" s="59"/>
      <c r="C28" s="60"/>
      <c r="D28" s="60"/>
      <c r="E28" s="60"/>
      <c r="F28" s="61"/>
      <c r="G28" s="62"/>
      <c r="H28" s="62"/>
      <c r="I28" s="63"/>
      <c r="J28" s="63"/>
      <c r="K28" s="63"/>
      <c r="L28" s="63"/>
      <c r="M28" s="63"/>
      <c r="N28" s="63"/>
      <c r="O28" s="63"/>
      <c r="P28" s="63"/>
      <c r="Q28" s="63"/>
      <c r="R28" s="63"/>
      <c r="S28" s="63"/>
      <c r="T28" s="63"/>
      <c r="U28" s="63"/>
      <c r="V28" s="63"/>
      <c r="W28" s="63"/>
    </row>
    <row r="29" spans="1:41" x14ac:dyDescent="0.2">
      <c r="A29" s="64"/>
      <c r="B29" s="59"/>
      <c r="C29" s="60"/>
      <c r="D29" s="60"/>
      <c r="E29" s="60"/>
      <c r="F29" s="60"/>
      <c r="G29" s="60"/>
      <c r="H29" s="60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3"/>
    </row>
    <row r="30" spans="1:41" x14ac:dyDescent="0.2">
      <c r="A30" s="65"/>
      <c r="B30" s="59"/>
      <c r="C30" s="66"/>
      <c r="D30" s="60"/>
      <c r="E30" s="60"/>
      <c r="F30" s="66"/>
      <c r="G30" s="66"/>
      <c r="H30" s="66"/>
      <c r="I30" s="63"/>
      <c r="J30" s="63"/>
      <c r="K30" s="63"/>
      <c r="L30" s="63"/>
      <c r="M30" s="63"/>
      <c r="N30" s="63"/>
      <c r="O30" s="63"/>
      <c r="P30" s="63"/>
      <c r="Q30" s="63"/>
      <c r="R30" s="63"/>
      <c r="S30" s="63"/>
      <c r="T30" s="63"/>
      <c r="U30" s="63"/>
      <c r="V30" s="63"/>
      <c r="W30" s="63"/>
    </row>
    <row r="31" spans="1:41" x14ac:dyDescent="0.2">
      <c r="A31" s="65"/>
      <c r="B31" s="67"/>
      <c r="C31" s="48"/>
      <c r="D31" s="48"/>
      <c r="E31" s="48"/>
      <c r="F31" s="9"/>
      <c r="G31" s="68"/>
      <c r="H31" s="68"/>
    </row>
    <row r="32" spans="1:41" x14ac:dyDescent="0.2">
      <c r="A32" s="64"/>
      <c r="B32" s="9"/>
      <c r="C32" s="9"/>
      <c r="D32" s="9"/>
      <c r="E32" s="9"/>
      <c r="F32" s="9"/>
      <c r="G32" s="9"/>
      <c r="H32" s="9"/>
    </row>
    <row r="33" spans="1:9" x14ac:dyDescent="0.2">
      <c r="A33" s="65"/>
      <c r="B33" s="9"/>
      <c r="C33" s="9"/>
      <c r="D33" s="9"/>
      <c r="E33" s="9"/>
      <c r="F33" s="9"/>
      <c r="G33" s="9"/>
      <c r="H33" s="9"/>
    </row>
    <row r="34" spans="1:9" x14ac:dyDescent="0.2">
      <c r="A34" s="65"/>
      <c r="B34" s="69"/>
      <c r="C34" s="9"/>
      <c r="D34" s="9"/>
      <c r="E34" s="9"/>
      <c r="F34" s="9"/>
      <c r="G34" s="9"/>
      <c r="H34" s="9"/>
    </row>
    <row r="35" spans="1:9" x14ac:dyDescent="0.2">
      <c r="A35" s="64"/>
      <c r="B35" s="69"/>
      <c r="C35" s="9"/>
      <c r="D35" s="9"/>
      <c r="E35" s="9"/>
      <c r="F35" s="9"/>
      <c r="G35" s="9"/>
      <c r="H35" s="9"/>
    </row>
    <row r="36" spans="1:9" x14ac:dyDescent="0.2">
      <c r="A36" s="65"/>
      <c r="B36" s="9"/>
      <c r="C36" s="9"/>
      <c r="D36" s="9"/>
      <c r="E36" s="9"/>
      <c r="F36" s="9"/>
      <c r="G36" s="9"/>
      <c r="H36" s="9"/>
    </row>
    <row r="37" spans="1:9" x14ac:dyDescent="0.2">
      <c r="A37" s="65"/>
      <c r="B37" s="9"/>
      <c r="C37" s="9"/>
      <c r="D37" s="9"/>
      <c r="E37" s="9"/>
      <c r="F37" s="9"/>
      <c r="G37" s="9"/>
      <c r="H37" s="9"/>
    </row>
    <row r="38" spans="1:9" x14ac:dyDescent="0.2">
      <c r="A38" s="64"/>
      <c r="B38" s="9"/>
      <c r="C38" s="9"/>
      <c r="D38" s="9"/>
      <c r="E38" s="9"/>
      <c r="F38" s="9"/>
      <c r="G38" s="9"/>
      <c r="H38" s="9"/>
    </row>
    <row r="39" spans="1:9" x14ac:dyDescent="0.2">
      <c r="A39" s="65"/>
      <c r="B39" s="9"/>
      <c r="C39" s="9"/>
      <c r="D39" s="9"/>
      <c r="E39" s="9"/>
      <c r="F39" s="9"/>
      <c r="G39" s="9"/>
      <c r="H39" s="9"/>
    </row>
    <row r="40" spans="1:9" x14ac:dyDescent="0.2">
      <c r="A40" s="44"/>
      <c r="B40" s="44"/>
      <c r="C40" s="16"/>
      <c r="D40" s="16"/>
      <c r="E40" s="16"/>
      <c r="F40" s="16"/>
      <c r="G40" s="16"/>
      <c r="H40" s="16"/>
    </row>
    <row r="41" spans="1:9" x14ac:dyDescent="0.2">
      <c r="A41" s="9"/>
      <c r="B41" s="9"/>
      <c r="C41" s="9"/>
      <c r="D41" s="9"/>
      <c r="E41" s="9"/>
      <c r="F41" s="9"/>
      <c r="G41" s="9"/>
      <c r="H41" s="9"/>
    </row>
    <row r="42" spans="1:9" x14ac:dyDescent="0.2">
      <c r="A42" s="70"/>
      <c r="B42" s="70"/>
      <c r="C42" s="70"/>
      <c r="D42" s="48"/>
      <c r="E42" s="48"/>
      <c r="F42" s="48"/>
      <c r="G42" s="48"/>
      <c r="H42" s="48"/>
      <c r="I42" s="48"/>
    </row>
    <row r="43" spans="1:9" ht="6.75" customHeight="1" x14ac:dyDescent="0.2">
      <c r="A43" s="48"/>
      <c r="B43" s="48"/>
      <c r="C43" s="48"/>
      <c r="D43" s="48"/>
      <c r="E43" s="48"/>
      <c r="F43" s="48"/>
      <c r="G43" s="48"/>
      <c r="H43" s="48"/>
      <c r="I43" s="48"/>
    </row>
    <row r="44" spans="1:9" ht="5.25" customHeight="1" x14ac:dyDescent="0.2">
      <c r="A44" s="48"/>
      <c r="B44" s="48"/>
      <c r="C44" s="48"/>
      <c r="D44" s="48"/>
      <c r="E44" s="48"/>
      <c r="F44" s="48"/>
      <c r="G44" s="48"/>
      <c r="H44" s="48"/>
      <c r="I44" s="48"/>
    </row>
    <row r="45" spans="1:9" x14ac:dyDescent="0.2">
      <c r="A45" s="68"/>
      <c r="B45" s="68"/>
      <c r="C45" s="68"/>
      <c r="D45" s="68"/>
      <c r="E45" s="68"/>
      <c r="F45" s="68"/>
      <c r="G45" s="68"/>
      <c r="H45" s="68"/>
      <c r="I45" s="48"/>
    </row>
    <row r="46" spans="1:9" x14ac:dyDescent="0.2">
      <c r="A46" s="68"/>
      <c r="B46" s="68"/>
      <c r="C46" s="68"/>
      <c r="D46" s="68"/>
      <c r="E46" s="68"/>
      <c r="F46" s="68"/>
      <c r="G46" s="68"/>
      <c r="H46" s="68"/>
      <c r="I46" s="48"/>
    </row>
    <row r="47" spans="1:9" x14ac:dyDescent="0.2">
      <c r="A47" s="68"/>
      <c r="B47" s="68"/>
      <c r="C47" s="48"/>
      <c r="D47" s="48"/>
      <c r="E47" s="48"/>
      <c r="F47" s="71"/>
      <c r="G47" s="68"/>
      <c r="H47" s="68"/>
      <c r="I47" s="48"/>
    </row>
    <row r="48" spans="1:9" x14ac:dyDescent="0.2">
      <c r="A48" s="72"/>
      <c r="B48" s="48"/>
      <c r="C48" s="48"/>
      <c r="D48" s="48"/>
      <c r="E48" s="48"/>
      <c r="F48" s="48"/>
      <c r="G48" s="48"/>
      <c r="H48" s="48"/>
      <c r="I48" s="48"/>
    </row>
    <row r="49" spans="1:9" x14ac:dyDescent="0.2">
      <c r="A49" s="73"/>
      <c r="B49" s="74"/>
      <c r="C49" s="48"/>
      <c r="D49" s="48"/>
      <c r="E49" s="48"/>
      <c r="F49" s="48"/>
      <c r="G49" s="48"/>
      <c r="H49" s="48"/>
      <c r="I49" s="48"/>
    </row>
    <row r="50" spans="1:9" x14ac:dyDescent="0.2">
      <c r="A50" s="73"/>
      <c r="B50" s="74"/>
      <c r="C50" s="48"/>
      <c r="D50" s="48"/>
      <c r="E50" s="48"/>
      <c r="F50" s="48"/>
      <c r="G50" s="48"/>
      <c r="H50" s="48"/>
      <c r="I50" s="48"/>
    </row>
    <row r="51" spans="1:9" x14ac:dyDescent="0.2">
      <c r="A51" s="72"/>
      <c r="B51" s="48"/>
      <c r="C51" s="48"/>
      <c r="D51" s="48"/>
      <c r="E51" s="48"/>
      <c r="F51" s="48"/>
      <c r="G51" s="48"/>
      <c r="H51" s="48"/>
      <c r="I51" s="48"/>
    </row>
    <row r="52" spans="1:9" x14ac:dyDescent="0.2">
      <c r="A52" s="72"/>
      <c r="B52" s="48"/>
      <c r="C52" s="48"/>
      <c r="D52" s="48"/>
      <c r="E52" s="48"/>
      <c r="F52" s="48"/>
      <c r="G52" s="48"/>
      <c r="H52" s="48"/>
      <c r="I52" s="48"/>
    </row>
    <row r="53" spans="1:9" x14ac:dyDescent="0.2">
      <c r="A53" s="73"/>
      <c r="B53" s="74"/>
      <c r="C53" s="48"/>
      <c r="D53" s="48"/>
      <c r="E53" s="48"/>
      <c r="F53" s="48"/>
      <c r="G53" s="48"/>
      <c r="H53" s="48"/>
      <c r="I53" s="48"/>
    </row>
    <row r="54" spans="1:9" x14ac:dyDescent="0.2">
      <c r="A54" s="73"/>
      <c r="B54" s="74"/>
      <c r="C54" s="48"/>
      <c r="D54" s="48"/>
      <c r="E54" s="48"/>
      <c r="F54" s="48"/>
      <c r="G54" s="48"/>
      <c r="H54" s="48"/>
      <c r="I54" s="48"/>
    </row>
    <row r="55" spans="1:9" x14ac:dyDescent="0.2">
      <c r="A55" s="72"/>
      <c r="B55" s="48"/>
      <c r="C55" s="48"/>
      <c r="D55" s="48"/>
      <c r="E55" s="48"/>
      <c r="F55" s="48"/>
      <c r="G55" s="48"/>
      <c r="H55" s="48"/>
      <c r="I55" s="48"/>
    </row>
    <row r="56" spans="1:9" x14ac:dyDescent="0.2">
      <c r="A56" s="72"/>
      <c r="B56" s="48"/>
      <c r="C56" s="48"/>
      <c r="D56" s="48"/>
      <c r="E56" s="48"/>
      <c r="F56" s="48"/>
      <c r="G56" s="48"/>
      <c r="H56" s="48"/>
      <c r="I56" s="48"/>
    </row>
    <row r="57" spans="1:9" x14ac:dyDescent="0.2">
      <c r="A57" s="73"/>
      <c r="B57" s="48"/>
      <c r="C57" s="48"/>
      <c r="D57" s="48"/>
      <c r="E57" s="48"/>
      <c r="F57" s="48"/>
      <c r="G57" s="48"/>
      <c r="H57" s="48"/>
      <c r="I57" s="48"/>
    </row>
    <row r="58" spans="1:9" x14ac:dyDescent="0.2">
      <c r="A58" s="73"/>
      <c r="B58" s="48"/>
      <c r="C58" s="48"/>
      <c r="D58" s="48"/>
      <c r="E58" s="48"/>
      <c r="F58" s="48"/>
      <c r="G58" s="48"/>
      <c r="H58" s="48"/>
      <c r="I58" s="48"/>
    </row>
    <row r="59" spans="1:9" x14ac:dyDescent="0.2">
      <c r="A59" s="72"/>
      <c r="B59" s="48"/>
      <c r="C59" s="48"/>
      <c r="D59" s="48"/>
      <c r="E59" s="48"/>
      <c r="F59" s="48"/>
      <c r="G59" s="48"/>
      <c r="H59" s="48"/>
      <c r="I59" s="48"/>
    </row>
    <row r="60" spans="1:9" x14ac:dyDescent="0.2">
      <c r="A60" s="72"/>
      <c r="B60" s="48"/>
      <c r="C60" s="48"/>
      <c r="D60" s="48"/>
      <c r="E60" s="48"/>
      <c r="F60" s="48"/>
      <c r="G60" s="48"/>
      <c r="H60" s="48"/>
      <c r="I60" s="48"/>
    </row>
    <row r="61" spans="1:9" x14ac:dyDescent="0.2">
      <c r="A61" s="73"/>
      <c r="B61" s="48"/>
      <c r="C61" s="48"/>
      <c r="D61" s="48"/>
      <c r="E61" s="48"/>
      <c r="F61" s="48"/>
      <c r="G61" s="48"/>
      <c r="H61" s="48"/>
      <c r="I61" s="48"/>
    </row>
    <row r="62" spans="1:9" x14ac:dyDescent="0.2">
      <c r="A62" s="73"/>
      <c r="B62" s="48"/>
      <c r="C62" s="48"/>
      <c r="D62" s="48"/>
      <c r="E62" s="48"/>
      <c r="F62" s="48"/>
      <c r="G62" s="48"/>
      <c r="H62" s="48"/>
      <c r="I62" s="48"/>
    </row>
    <row r="63" spans="1:9" x14ac:dyDescent="0.2">
      <c r="A63" s="75"/>
      <c r="B63" s="75"/>
      <c r="C63" s="45"/>
      <c r="D63" s="45"/>
      <c r="E63" s="45"/>
      <c r="F63" s="45"/>
      <c r="G63" s="45"/>
      <c r="H63" s="45"/>
      <c r="I63" s="48"/>
    </row>
    <row r="64" spans="1:9" ht="6.75" customHeight="1" x14ac:dyDescent="0.2">
      <c r="A64" s="48"/>
      <c r="B64" s="48"/>
      <c r="C64" s="48"/>
      <c r="D64" s="48"/>
      <c r="E64" s="48"/>
      <c r="F64" s="48"/>
      <c r="G64" s="48"/>
      <c r="H64" s="48"/>
      <c r="I64" s="48"/>
    </row>
    <row r="65" spans="1:9" x14ac:dyDescent="0.2">
      <c r="A65" s="70"/>
      <c r="B65" s="70"/>
      <c r="C65" s="70"/>
      <c r="D65" s="48"/>
      <c r="E65" s="48"/>
      <c r="F65" s="48"/>
      <c r="G65" s="48"/>
      <c r="H65" s="48"/>
      <c r="I65" s="48"/>
    </row>
    <row r="66" spans="1:9" x14ac:dyDescent="0.2">
      <c r="A66" s="48"/>
      <c r="B66" s="48"/>
      <c r="C66" s="48"/>
      <c r="D66" s="48"/>
      <c r="E66" s="48"/>
      <c r="F66" s="48"/>
      <c r="G66" s="48"/>
      <c r="H66" s="48"/>
      <c r="I66" s="48"/>
    </row>
    <row r="67" spans="1:9" x14ac:dyDescent="0.2">
      <c r="A67" s="68"/>
      <c r="B67" s="68"/>
      <c r="C67" s="68"/>
      <c r="D67" s="68"/>
      <c r="E67" s="68"/>
      <c r="F67" s="68"/>
      <c r="G67" s="68"/>
      <c r="H67" s="68"/>
      <c r="I67" s="48"/>
    </row>
    <row r="68" spans="1:9" x14ac:dyDescent="0.2">
      <c r="A68" s="68"/>
      <c r="B68" s="68"/>
      <c r="C68" s="68"/>
      <c r="D68" s="68"/>
      <c r="E68" s="68"/>
      <c r="F68" s="68"/>
      <c r="G68" s="68"/>
      <c r="H68" s="68"/>
      <c r="I68" s="48"/>
    </row>
    <row r="69" spans="1:9" x14ac:dyDescent="0.2">
      <c r="A69" s="68"/>
      <c r="B69" s="68"/>
      <c r="C69" s="48"/>
      <c r="D69" s="48"/>
      <c r="E69" s="48"/>
      <c r="F69" s="71"/>
      <c r="G69" s="68"/>
      <c r="H69" s="68"/>
      <c r="I69" s="48"/>
    </row>
    <row r="70" spans="1:9" x14ac:dyDescent="0.2">
      <c r="A70" s="72"/>
      <c r="B70" s="48"/>
      <c r="C70" s="48"/>
      <c r="D70" s="48"/>
      <c r="E70" s="48"/>
      <c r="F70" s="48"/>
      <c r="G70" s="48"/>
      <c r="H70" s="48"/>
      <c r="I70" s="48"/>
    </row>
    <row r="71" spans="1:9" x14ac:dyDescent="0.2">
      <c r="A71" s="73"/>
      <c r="B71" s="74"/>
      <c r="C71" s="48"/>
      <c r="D71" s="48"/>
      <c r="E71" s="48"/>
      <c r="F71" s="48"/>
      <c r="G71" s="48"/>
      <c r="H71" s="48"/>
      <c r="I71" s="48"/>
    </row>
    <row r="72" spans="1:9" x14ac:dyDescent="0.2">
      <c r="A72" s="73"/>
      <c r="B72" s="74"/>
      <c r="C72" s="48"/>
      <c r="D72" s="48"/>
      <c r="E72" s="48"/>
      <c r="F72" s="48"/>
      <c r="G72" s="48"/>
      <c r="H72" s="48"/>
      <c r="I72" s="48"/>
    </row>
    <row r="73" spans="1:9" x14ac:dyDescent="0.2">
      <c r="A73" s="72"/>
      <c r="B73" s="48"/>
      <c r="C73" s="48"/>
      <c r="D73" s="48"/>
      <c r="E73" s="48"/>
      <c r="F73" s="48"/>
      <c r="G73" s="48"/>
      <c r="H73" s="48"/>
      <c r="I73" s="48"/>
    </row>
    <row r="74" spans="1:9" x14ac:dyDescent="0.2">
      <c r="A74" s="72"/>
      <c r="B74" s="48"/>
      <c r="C74" s="48"/>
      <c r="D74" s="48"/>
      <c r="E74" s="48"/>
      <c r="F74" s="48"/>
      <c r="G74" s="48"/>
      <c r="H74" s="48"/>
      <c r="I74" s="48"/>
    </row>
    <row r="75" spans="1:9" x14ac:dyDescent="0.2">
      <c r="A75" s="73"/>
      <c r="B75" s="74"/>
      <c r="C75" s="48"/>
      <c r="D75" s="48"/>
      <c r="E75" s="48"/>
      <c r="F75" s="48"/>
      <c r="G75" s="48"/>
      <c r="H75" s="48"/>
      <c r="I75" s="48"/>
    </row>
    <row r="76" spans="1:9" x14ac:dyDescent="0.2">
      <c r="A76" s="73"/>
      <c r="B76" s="74"/>
      <c r="C76" s="48"/>
      <c r="D76" s="48"/>
      <c r="E76" s="48"/>
      <c r="F76" s="48"/>
      <c r="G76" s="48"/>
      <c r="H76" s="48"/>
      <c r="I76" s="48"/>
    </row>
    <row r="77" spans="1:9" x14ac:dyDescent="0.2">
      <c r="A77" s="72"/>
      <c r="B77" s="48"/>
      <c r="C77" s="48"/>
      <c r="D77" s="48"/>
      <c r="E77" s="48"/>
      <c r="F77" s="48"/>
      <c r="G77" s="48"/>
      <c r="H77" s="48"/>
      <c r="I77" s="48"/>
    </row>
    <row r="78" spans="1:9" x14ac:dyDescent="0.2">
      <c r="A78" s="72"/>
      <c r="B78" s="48"/>
      <c r="C78" s="48"/>
      <c r="D78" s="48"/>
      <c r="E78" s="48"/>
      <c r="F78" s="48"/>
      <c r="G78" s="48"/>
      <c r="H78" s="48"/>
      <c r="I78" s="48"/>
    </row>
    <row r="79" spans="1:9" x14ac:dyDescent="0.2">
      <c r="A79" s="73"/>
      <c r="B79" s="48"/>
      <c r="C79" s="48"/>
      <c r="D79" s="48"/>
      <c r="E79" s="48"/>
      <c r="F79" s="48"/>
      <c r="G79" s="48"/>
      <c r="H79" s="48"/>
      <c r="I79" s="48"/>
    </row>
    <row r="80" spans="1:9" x14ac:dyDescent="0.2">
      <c r="A80" s="73"/>
      <c r="B80" s="48"/>
      <c r="C80" s="48"/>
      <c r="D80" s="48"/>
      <c r="E80" s="48"/>
      <c r="F80" s="48"/>
      <c r="G80" s="48"/>
      <c r="H80" s="48"/>
      <c r="I80" s="48"/>
    </row>
    <row r="81" spans="1:9" x14ac:dyDescent="0.2">
      <c r="A81" s="72"/>
      <c r="B81" s="48"/>
      <c r="C81" s="48"/>
      <c r="D81" s="48"/>
      <c r="E81" s="48"/>
      <c r="F81" s="48"/>
      <c r="G81" s="48"/>
      <c r="H81" s="48"/>
      <c r="I81" s="48"/>
    </row>
    <row r="82" spans="1:9" x14ac:dyDescent="0.2">
      <c r="A82" s="72"/>
      <c r="B82" s="48"/>
      <c r="C82" s="48"/>
      <c r="D82" s="48"/>
      <c r="E82" s="48"/>
      <c r="F82" s="48"/>
      <c r="G82" s="48"/>
      <c r="H82" s="48"/>
      <c r="I82" s="48"/>
    </row>
    <row r="83" spans="1:9" x14ac:dyDescent="0.2">
      <c r="A83" s="73"/>
      <c r="B83" s="48"/>
      <c r="C83" s="48"/>
      <c r="D83" s="48"/>
      <c r="E83" s="48"/>
      <c r="F83" s="48"/>
      <c r="G83" s="48"/>
      <c r="H83" s="48"/>
      <c r="I83" s="48"/>
    </row>
    <row r="84" spans="1:9" x14ac:dyDescent="0.2">
      <c r="A84" s="73"/>
      <c r="B84" s="48"/>
      <c r="C84" s="48"/>
      <c r="D84" s="48"/>
      <c r="E84" s="48"/>
      <c r="F84" s="48"/>
      <c r="G84" s="48"/>
      <c r="H84" s="48"/>
      <c r="I84" s="48"/>
    </row>
    <row r="85" spans="1:9" x14ac:dyDescent="0.2">
      <c r="A85" s="75"/>
      <c r="B85" s="75"/>
      <c r="C85" s="45"/>
      <c r="D85" s="45"/>
      <c r="E85" s="45"/>
      <c r="F85" s="45"/>
      <c r="G85" s="45"/>
      <c r="H85" s="45"/>
      <c r="I85" s="48"/>
    </row>
    <row r="86" spans="1:9" x14ac:dyDescent="0.2">
      <c r="A86" s="48"/>
      <c r="B86" s="48"/>
      <c r="C86" s="48"/>
      <c r="D86" s="48"/>
      <c r="E86" s="48"/>
      <c r="F86" s="48"/>
      <c r="G86" s="48"/>
      <c r="H86" s="48"/>
      <c r="I86" s="48"/>
    </row>
    <row r="87" spans="1:9" x14ac:dyDescent="0.2">
      <c r="A87" s="70"/>
      <c r="B87" s="70"/>
      <c r="C87" s="70"/>
      <c r="D87" s="48"/>
      <c r="E87" s="48"/>
      <c r="F87" s="48"/>
      <c r="G87" s="48"/>
      <c r="H87" s="48"/>
      <c r="I87" s="48"/>
    </row>
    <row r="88" spans="1:9" x14ac:dyDescent="0.2">
      <c r="A88" s="48"/>
      <c r="B88" s="48"/>
      <c r="C88" s="48"/>
      <c r="D88" s="48"/>
      <c r="E88" s="48"/>
      <c r="F88" s="48"/>
      <c r="G88" s="48"/>
      <c r="H88" s="48"/>
      <c r="I88" s="48"/>
    </row>
    <row r="89" spans="1:9" x14ac:dyDescent="0.2">
      <c r="A89" s="48"/>
      <c r="B89" s="48"/>
      <c r="C89" s="48"/>
      <c r="D89" s="48"/>
      <c r="E89" s="48"/>
      <c r="F89" s="48"/>
      <c r="G89" s="48"/>
      <c r="H89" s="48"/>
      <c r="I89" s="48"/>
    </row>
    <row r="90" spans="1:9" x14ac:dyDescent="0.2">
      <c r="A90" s="48"/>
      <c r="B90" s="48"/>
      <c r="C90" s="48"/>
      <c r="D90" s="48"/>
      <c r="E90" s="48"/>
      <c r="F90" s="48"/>
      <c r="G90" s="48"/>
      <c r="H90" s="48"/>
      <c r="I90" s="48"/>
    </row>
    <row r="91" spans="1:9" x14ac:dyDescent="0.2">
      <c r="A91" s="68"/>
      <c r="B91" s="68"/>
      <c r="C91" s="68"/>
      <c r="D91" s="68"/>
      <c r="E91" s="68"/>
      <c r="F91" s="68"/>
      <c r="G91" s="68"/>
      <c r="H91" s="68"/>
      <c r="I91" s="48"/>
    </row>
    <row r="92" spans="1:9" x14ac:dyDescent="0.2">
      <c r="A92" s="68"/>
      <c r="B92" s="68"/>
      <c r="C92" s="68"/>
      <c r="D92" s="68"/>
      <c r="E92" s="68"/>
      <c r="F92" s="68"/>
      <c r="G92" s="68"/>
      <c r="H92" s="68"/>
      <c r="I92" s="48"/>
    </row>
    <row r="93" spans="1:9" x14ac:dyDescent="0.2">
      <c r="A93" s="68"/>
      <c r="B93" s="68"/>
      <c r="C93" s="68"/>
      <c r="D93" s="68"/>
      <c r="E93" s="68"/>
      <c r="F93" s="68"/>
      <c r="G93" s="68"/>
      <c r="H93" s="68"/>
      <c r="I93" s="48"/>
    </row>
    <row r="94" spans="1:9" x14ac:dyDescent="0.2">
      <c r="A94" s="72"/>
      <c r="B94" s="48"/>
      <c r="C94" s="48"/>
      <c r="D94" s="48"/>
      <c r="E94" s="48"/>
      <c r="F94" s="48"/>
      <c r="G94" s="48"/>
      <c r="H94" s="48"/>
      <c r="I94" s="48"/>
    </row>
    <row r="95" spans="1:9" x14ac:dyDescent="0.2">
      <c r="A95" s="73"/>
      <c r="B95" s="74"/>
      <c r="C95" s="48"/>
      <c r="D95" s="48"/>
      <c r="E95" s="48"/>
      <c r="F95" s="48"/>
      <c r="G95" s="48"/>
      <c r="H95" s="48"/>
      <c r="I95" s="48"/>
    </row>
    <row r="96" spans="1:9" x14ac:dyDescent="0.2">
      <c r="A96" s="73"/>
      <c r="B96" s="74"/>
      <c r="C96" s="48"/>
      <c r="D96" s="48"/>
      <c r="E96" s="48"/>
      <c r="F96" s="48"/>
      <c r="G96" s="48"/>
      <c r="H96" s="48"/>
      <c r="I96" s="48"/>
    </row>
    <row r="97" spans="1:9" x14ac:dyDescent="0.2">
      <c r="A97" s="72"/>
      <c r="B97" s="48"/>
      <c r="C97" s="48"/>
      <c r="D97" s="48"/>
      <c r="E97" s="48"/>
      <c r="F97" s="48"/>
      <c r="G97" s="48"/>
      <c r="H97" s="48"/>
      <c r="I97" s="48"/>
    </row>
    <row r="98" spans="1:9" x14ac:dyDescent="0.2">
      <c r="A98" s="72"/>
      <c r="B98" s="48"/>
      <c r="C98" s="48"/>
      <c r="D98" s="48"/>
      <c r="E98" s="48"/>
      <c r="F98" s="48"/>
      <c r="G98" s="48"/>
      <c r="H98" s="48"/>
      <c r="I98" s="48"/>
    </row>
    <row r="99" spans="1:9" x14ac:dyDescent="0.2">
      <c r="A99" s="73"/>
      <c r="B99" s="74"/>
      <c r="C99" s="48"/>
      <c r="D99" s="48"/>
      <c r="E99" s="48"/>
      <c r="F99" s="48"/>
      <c r="G99" s="48"/>
      <c r="H99" s="48"/>
      <c r="I99" s="48"/>
    </row>
    <row r="100" spans="1:9" x14ac:dyDescent="0.2">
      <c r="A100" s="73"/>
      <c r="B100" s="74"/>
      <c r="C100" s="48"/>
      <c r="D100" s="48"/>
      <c r="E100" s="48"/>
      <c r="F100" s="48"/>
      <c r="G100" s="48"/>
      <c r="H100" s="48"/>
      <c r="I100" s="48"/>
    </row>
    <row r="101" spans="1:9" x14ac:dyDescent="0.2">
      <c r="A101" s="72"/>
      <c r="B101" s="48"/>
      <c r="C101" s="48"/>
      <c r="D101" s="48"/>
      <c r="E101" s="48"/>
      <c r="F101" s="48"/>
      <c r="G101" s="48"/>
      <c r="H101" s="48"/>
      <c r="I101" s="48"/>
    </row>
    <row r="102" spans="1:9" x14ac:dyDescent="0.2">
      <c r="A102" s="72"/>
      <c r="B102" s="48"/>
      <c r="C102" s="48"/>
      <c r="D102" s="48"/>
      <c r="E102" s="48"/>
      <c r="F102" s="48"/>
      <c r="G102" s="48"/>
      <c r="H102" s="48"/>
      <c r="I102" s="48"/>
    </row>
    <row r="103" spans="1:9" x14ac:dyDescent="0.2">
      <c r="A103" s="73"/>
      <c r="B103" s="48"/>
      <c r="C103" s="48"/>
      <c r="D103" s="48"/>
      <c r="E103" s="48"/>
      <c r="F103" s="48"/>
      <c r="G103" s="48"/>
      <c r="H103" s="48"/>
      <c r="I103" s="48"/>
    </row>
    <row r="104" spans="1:9" x14ac:dyDescent="0.2">
      <c r="A104" s="73"/>
      <c r="B104" s="48"/>
      <c r="C104" s="48"/>
      <c r="D104" s="48"/>
      <c r="E104" s="48"/>
      <c r="F104" s="48"/>
      <c r="G104" s="48"/>
      <c r="H104" s="48"/>
      <c r="I104" s="48"/>
    </row>
    <row r="105" spans="1:9" x14ac:dyDescent="0.2">
      <c r="A105" s="72"/>
      <c r="B105" s="48"/>
      <c r="C105" s="48"/>
      <c r="D105" s="48"/>
      <c r="E105" s="48"/>
      <c r="F105" s="48"/>
      <c r="G105" s="48"/>
      <c r="H105" s="48"/>
      <c r="I105" s="48"/>
    </row>
    <row r="106" spans="1:9" x14ac:dyDescent="0.2">
      <c r="A106" s="72"/>
      <c r="B106" s="48"/>
      <c r="C106" s="48"/>
      <c r="D106" s="48"/>
      <c r="E106" s="48"/>
      <c r="F106" s="48"/>
      <c r="G106" s="48"/>
      <c r="H106" s="48"/>
      <c r="I106" s="48"/>
    </row>
    <row r="107" spans="1:9" x14ac:dyDescent="0.2">
      <c r="A107" s="73"/>
      <c r="B107" s="48"/>
      <c r="C107" s="48"/>
      <c r="D107" s="48"/>
      <c r="E107" s="48"/>
      <c r="F107" s="48"/>
      <c r="G107" s="48"/>
      <c r="H107" s="48"/>
      <c r="I107" s="48"/>
    </row>
    <row r="108" spans="1:9" x14ac:dyDescent="0.2">
      <c r="A108" s="73"/>
      <c r="B108" s="48"/>
      <c r="C108" s="48"/>
      <c r="D108" s="48"/>
      <c r="E108" s="48"/>
      <c r="F108" s="48"/>
      <c r="G108" s="48"/>
      <c r="H108" s="48"/>
      <c r="I108" s="48"/>
    </row>
    <row r="109" spans="1:9" x14ac:dyDescent="0.2">
      <c r="A109" s="75"/>
      <c r="B109" s="75"/>
      <c r="C109" s="45"/>
      <c r="D109" s="45"/>
      <c r="E109" s="45"/>
      <c r="F109" s="45"/>
      <c r="G109" s="45"/>
      <c r="H109" s="45"/>
      <c r="I109" s="48"/>
    </row>
    <row r="110" spans="1:9" x14ac:dyDescent="0.2">
      <c r="A110" s="48"/>
      <c r="B110" s="48"/>
      <c r="C110" s="48"/>
      <c r="D110" s="48"/>
      <c r="E110" s="48"/>
      <c r="F110" s="48"/>
      <c r="G110" s="48"/>
      <c r="H110" s="48"/>
      <c r="I110" s="48"/>
    </row>
    <row r="111" spans="1:9" x14ac:dyDescent="0.2">
      <c r="A111" s="70"/>
      <c r="B111" s="70"/>
      <c r="C111" s="70"/>
      <c r="D111" s="48"/>
      <c r="E111" s="48"/>
      <c r="F111" s="48"/>
      <c r="G111" s="48"/>
      <c r="H111" s="48"/>
      <c r="I111" s="48"/>
    </row>
    <row r="112" spans="1:9" x14ac:dyDescent="0.2">
      <c r="A112" s="48"/>
      <c r="B112" s="48"/>
      <c r="C112" s="48"/>
      <c r="D112" s="48"/>
      <c r="E112" s="48"/>
      <c r="F112" s="48"/>
      <c r="G112" s="48"/>
      <c r="H112" s="48"/>
      <c r="I112" s="48"/>
    </row>
    <row r="113" spans="1:9" x14ac:dyDescent="0.2">
      <c r="A113" s="68"/>
      <c r="B113" s="68"/>
      <c r="C113" s="68"/>
      <c r="D113" s="68"/>
      <c r="E113" s="68"/>
      <c r="F113" s="68"/>
      <c r="G113" s="68"/>
      <c r="H113" s="68"/>
      <c r="I113" s="48"/>
    </row>
    <row r="114" spans="1:9" x14ac:dyDescent="0.2">
      <c r="A114" s="68"/>
      <c r="B114" s="68"/>
      <c r="C114" s="68"/>
      <c r="D114" s="68"/>
      <c r="E114" s="68"/>
      <c r="F114" s="68"/>
      <c r="G114" s="68"/>
      <c r="H114" s="68"/>
      <c r="I114" s="48"/>
    </row>
    <row r="115" spans="1:9" x14ac:dyDescent="0.2">
      <c r="A115" s="68"/>
      <c r="B115" s="68"/>
      <c r="C115" s="48"/>
      <c r="D115" s="48"/>
      <c r="E115" s="48"/>
      <c r="F115" s="71"/>
      <c r="G115" s="68"/>
      <c r="H115" s="68"/>
      <c r="I115" s="48"/>
    </row>
    <row r="116" spans="1:9" x14ac:dyDescent="0.2">
      <c r="A116" s="72"/>
      <c r="B116" s="48"/>
      <c r="C116" s="48"/>
      <c r="D116" s="48"/>
      <c r="E116" s="48"/>
      <c r="F116" s="76"/>
      <c r="G116" s="48"/>
      <c r="H116" s="48"/>
      <c r="I116" s="48"/>
    </row>
    <row r="117" spans="1:9" x14ac:dyDescent="0.2">
      <c r="A117" s="73"/>
      <c r="B117" s="74"/>
      <c r="C117" s="48"/>
      <c r="D117" s="48"/>
      <c r="E117" s="48"/>
      <c r="F117" s="76"/>
      <c r="G117" s="48"/>
      <c r="H117" s="48"/>
      <c r="I117" s="48"/>
    </row>
    <row r="118" spans="1:9" x14ac:dyDescent="0.2">
      <c r="A118" s="73"/>
      <c r="B118" s="74"/>
      <c r="C118" s="48"/>
      <c r="D118" s="48"/>
      <c r="E118" s="48"/>
      <c r="F118" s="76"/>
      <c r="G118" s="48"/>
      <c r="H118" s="48"/>
      <c r="I118" s="48"/>
    </row>
    <row r="119" spans="1:9" x14ac:dyDescent="0.2">
      <c r="A119" s="72"/>
      <c r="B119" s="48"/>
      <c r="C119" s="48"/>
      <c r="D119" s="48"/>
      <c r="E119" s="48"/>
      <c r="F119" s="76"/>
      <c r="G119" s="48"/>
      <c r="H119" s="48"/>
      <c r="I119" s="48"/>
    </row>
    <row r="120" spans="1:9" x14ac:dyDescent="0.2">
      <c r="A120" s="73"/>
      <c r="B120" s="48"/>
      <c r="C120" s="48"/>
      <c r="D120" s="48"/>
      <c r="E120" s="48"/>
      <c r="F120" s="76"/>
      <c r="G120" s="48"/>
      <c r="H120" s="48"/>
      <c r="I120" s="48"/>
    </row>
    <row r="121" spans="1:9" x14ac:dyDescent="0.2">
      <c r="A121" s="73"/>
      <c r="B121" s="74"/>
      <c r="C121" s="48"/>
      <c r="D121" s="48"/>
      <c r="E121" s="48"/>
      <c r="F121" s="76"/>
      <c r="G121" s="48"/>
      <c r="H121" s="48"/>
      <c r="I121" s="48"/>
    </row>
    <row r="122" spans="1:9" x14ac:dyDescent="0.2">
      <c r="A122" s="72"/>
      <c r="B122" s="74"/>
      <c r="C122" s="48"/>
      <c r="D122" s="48"/>
      <c r="E122" s="48"/>
      <c r="F122" s="76"/>
      <c r="G122" s="48"/>
      <c r="H122" s="48"/>
      <c r="I122" s="48"/>
    </row>
    <row r="123" spans="1:9" x14ac:dyDescent="0.2">
      <c r="A123" s="73"/>
      <c r="B123" s="48"/>
      <c r="C123" s="48"/>
      <c r="D123" s="48"/>
      <c r="E123" s="48"/>
      <c r="F123" s="76"/>
      <c r="G123" s="48"/>
      <c r="H123" s="48"/>
      <c r="I123" s="48"/>
    </row>
    <row r="124" spans="1:9" x14ac:dyDescent="0.2">
      <c r="A124" s="73"/>
      <c r="B124" s="48"/>
      <c r="C124" s="48"/>
      <c r="D124" s="48"/>
      <c r="E124" s="48"/>
      <c r="F124" s="76"/>
      <c r="G124" s="48"/>
      <c r="H124" s="48"/>
      <c r="I124" s="48"/>
    </row>
    <row r="125" spans="1:9" x14ac:dyDescent="0.2">
      <c r="A125" s="72"/>
      <c r="B125" s="48"/>
      <c r="C125" s="48"/>
      <c r="D125" s="48"/>
      <c r="E125" s="48"/>
      <c r="F125" s="76"/>
      <c r="G125" s="48"/>
      <c r="H125" s="48"/>
      <c r="I125" s="48"/>
    </row>
    <row r="126" spans="1:9" x14ac:dyDescent="0.2">
      <c r="A126" s="73"/>
      <c r="B126" s="48"/>
      <c r="C126" s="48"/>
      <c r="D126" s="48"/>
      <c r="E126" s="48"/>
      <c r="F126" s="76"/>
      <c r="G126" s="48"/>
      <c r="H126" s="48"/>
      <c r="I126" s="48"/>
    </row>
    <row r="127" spans="1:9" x14ac:dyDescent="0.2">
      <c r="A127" s="75"/>
      <c r="B127" s="75"/>
      <c r="C127" s="45"/>
      <c r="D127" s="45"/>
      <c r="E127" s="45"/>
      <c r="F127" s="45"/>
      <c r="G127" s="45"/>
      <c r="H127" s="45"/>
      <c r="I127" s="48"/>
    </row>
    <row r="128" spans="1:9" x14ac:dyDescent="0.2">
      <c r="A128" s="48"/>
      <c r="B128" s="48"/>
      <c r="C128" s="48"/>
      <c r="D128" s="48"/>
      <c r="E128" s="48"/>
      <c r="F128" s="48"/>
      <c r="G128" s="48"/>
      <c r="H128" s="48"/>
      <c r="I128" s="48"/>
    </row>
    <row r="129" spans="1:9" x14ac:dyDescent="0.2">
      <c r="A129" s="70"/>
      <c r="B129" s="70"/>
      <c r="C129" s="48"/>
      <c r="D129" s="48"/>
      <c r="E129" s="48"/>
      <c r="F129" s="48"/>
      <c r="G129" s="48"/>
      <c r="H129" s="48"/>
      <c r="I129" s="48"/>
    </row>
    <row r="130" spans="1:9" x14ac:dyDescent="0.2">
      <c r="A130" s="48"/>
      <c r="B130" s="48"/>
      <c r="C130" s="48"/>
      <c r="D130" s="48"/>
      <c r="E130" s="48"/>
      <c r="F130" s="48"/>
      <c r="G130" s="48"/>
      <c r="H130" s="48"/>
      <c r="I130" s="48"/>
    </row>
    <row r="131" spans="1:9" x14ac:dyDescent="0.2">
      <c r="A131" s="48"/>
      <c r="B131" s="48"/>
      <c r="C131" s="48"/>
      <c r="D131" s="48"/>
      <c r="E131" s="48"/>
      <c r="F131" s="48"/>
      <c r="G131" s="48"/>
      <c r="H131" s="48"/>
      <c r="I131" s="48"/>
    </row>
    <row r="132" spans="1:9" x14ac:dyDescent="0.2">
      <c r="A132" s="48"/>
      <c r="B132" s="48"/>
      <c r="C132" s="48"/>
      <c r="D132" s="48"/>
      <c r="E132" s="48"/>
      <c r="F132" s="48"/>
      <c r="G132" s="48"/>
      <c r="H132" s="48"/>
      <c r="I132" s="48"/>
    </row>
    <row r="133" spans="1:9" x14ac:dyDescent="0.2">
      <c r="A133" s="48"/>
      <c r="B133" s="48"/>
      <c r="C133" s="48"/>
      <c r="D133" s="48"/>
      <c r="E133" s="48"/>
      <c r="F133" s="48"/>
      <c r="G133" s="48"/>
      <c r="H133" s="48"/>
      <c r="I133" s="48"/>
    </row>
    <row r="134" spans="1:9" x14ac:dyDescent="0.2">
      <c r="A134" s="48"/>
      <c r="B134" s="48"/>
      <c r="C134" s="48"/>
      <c r="D134" s="48"/>
      <c r="E134" s="48"/>
      <c r="F134" s="48"/>
      <c r="G134" s="48"/>
      <c r="H134" s="48"/>
      <c r="I134" s="48"/>
    </row>
    <row r="135" spans="1:9" x14ac:dyDescent="0.2">
      <c r="A135" s="48"/>
      <c r="B135" s="48"/>
      <c r="C135" s="48"/>
      <c r="D135" s="48"/>
      <c r="E135" s="48"/>
      <c r="F135" s="48"/>
      <c r="G135" s="48"/>
      <c r="H135" s="48"/>
      <c r="I135" s="48"/>
    </row>
    <row r="136" spans="1:9" x14ac:dyDescent="0.2">
      <c r="A136" s="48"/>
      <c r="B136" s="48"/>
      <c r="C136" s="48"/>
      <c r="D136" s="48"/>
      <c r="E136" s="48"/>
      <c r="F136" s="48"/>
      <c r="G136" s="48"/>
      <c r="H136" s="48"/>
      <c r="I136" s="48"/>
    </row>
    <row r="137" spans="1:9" x14ac:dyDescent="0.2">
      <c r="A137" s="48"/>
      <c r="B137" s="48"/>
      <c r="C137" s="48"/>
      <c r="D137" s="48"/>
      <c r="E137" s="48"/>
      <c r="F137" s="48"/>
      <c r="G137" s="48"/>
      <c r="H137" s="48"/>
      <c r="I137" s="48"/>
    </row>
    <row r="138" spans="1:9" x14ac:dyDescent="0.2">
      <c r="A138" s="48"/>
      <c r="B138" s="48"/>
      <c r="C138" s="48"/>
      <c r="D138" s="48"/>
      <c r="E138" s="48"/>
      <c r="F138" s="48"/>
      <c r="G138" s="48"/>
      <c r="H138" s="48"/>
      <c r="I138" s="48"/>
    </row>
    <row r="139" spans="1:9" x14ac:dyDescent="0.2">
      <c r="A139" s="48"/>
      <c r="B139" s="48"/>
      <c r="C139" s="48"/>
      <c r="D139" s="48"/>
      <c r="E139" s="48"/>
      <c r="F139" s="48"/>
      <c r="G139" s="48"/>
      <c r="H139" s="48"/>
      <c r="I139" s="48"/>
    </row>
    <row r="140" spans="1:9" x14ac:dyDescent="0.2">
      <c r="A140" s="48"/>
      <c r="B140" s="48"/>
      <c r="C140" s="48"/>
      <c r="D140" s="48"/>
      <c r="E140" s="48"/>
      <c r="F140" s="48"/>
      <c r="G140" s="48"/>
      <c r="H140" s="48"/>
      <c r="I140" s="48"/>
    </row>
    <row r="141" spans="1:9" x14ac:dyDescent="0.2">
      <c r="A141" s="48"/>
      <c r="B141" s="48"/>
      <c r="C141" s="48"/>
      <c r="D141" s="48"/>
      <c r="E141" s="48"/>
      <c r="F141" s="48"/>
      <c r="G141" s="48"/>
      <c r="H141" s="48"/>
      <c r="I141" s="48"/>
    </row>
    <row r="142" spans="1:9" x14ac:dyDescent="0.2">
      <c r="A142" s="48"/>
      <c r="B142" s="48"/>
      <c r="C142" s="48"/>
      <c r="D142" s="48"/>
      <c r="E142" s="48"/>
      <c r="F142" s="48"/>
      <c r="G142" s="48"/>
      <c r="H142" s="48"/>
      <c r="I142" s="48"/>
    </row>
    <row r="143" spans="1:9" x14ac:dyDescent="0.2">
      <c r="A143" s="48"/>
      <c r="B143" s="48"/>
      <c r="C143" s="48"/>
      <c r="D143" s="48"/>
      <c r="E143" s="48"/>
      <c r="F143" s="48"/>
      <c r="G143" s="48"/>
      <c r="H143" s="48"/>
      <c r="I143" s="48"/>
    </row>
    <row r="144" spans="1:9" x14ac:dyDescent="0.2">
      <c r="A144" s="48"/>
      <c r="B144" s="48"/>
      <c r="C144" s="48"/>
      <c r="D144" s="48"/>
      <c r="E144" s="48"/>
      <c r="F144" s="48"/>
      <c r="G144" s="48"/>
      <c r="H144" s="48"/>
      <c r="I144" s="48"/>
    </row>
    <row r="145" spans="1:9" x14ac:dyDescent="0.2">
      <c r="A145" s="48"/>
      <c r="B145" s="48"/>
      <c r="C145" s="48"/>
      <c r="D145" s="48"/>
      <c r="E145" s="48"/>
      <c r="F145" s="48"/>
      <c r="G145" s="48"/>
      <c r="H145" s="48"/>
      <c r="I145" s="48"/>
    </row>
    <row r="146" spans="1:9" x14ac:dyDescent="0.2">
      <c r="A146" s="48"/>
      <c r="B146" s="48"/>
      <c r="C146" s="48"/>
      <c r="D146" s="48"/>
      <c r="E146" s="48"/>
      <c r="F146" s="48"/>
      <c r="G146" s="48"/>
      <c r="H146" s="48"/>
      <c r="I146" s="48"/>
    </row>
    <row r="147" spans="1:9" x14ac:dyDescent="0.2">
      <c r="A147" s="48"/>
      <c r="B147" s="48"/>
      <c r="C147" s="48"/>
      <c r="D147" s="48"/>
      <c r="E147" s="48"/>
      <c r="F147" s="48"/>
      <c r="G147" s="48"/>
      <c r="H147" s="48"/>
      <c r="I147" s="48"/>
    </row>
    <row r="148" spans="1:9" x14ac:dyDescent="0.2">
      <c r="A148" s="48"/>
      <c r="B148" s="48"/>
      <c r="C148" s="48"/>
      <c r="D148" s="48"/>
      <c r="E148" s="48"/>
      <c r="F148" s="48"/>
      <c r="G148" s="48"/>
      <c r="H148" s="48"/>
      <c r="I148" s="48"/>
    </row>
    <row r="149" spans="1:9" x14ac:dyDescent="0.2">
      <c r="A149" s="48"/>
      <c r="B149" s="48"/>
      <c r="C149" s="48"/>
      <c r="D149" s="48"/>
      <c r="E149" s="48"/>
      <c r="F149" s="48"/>
      <c r="G149" s="48"/>
      <c r="H149" s="48"/>
      <c r="I149" s="48"/>
    </row>
    <row r="150" spans="1:9" x14ac:dyDescent="0.2">
      <c r="A150" s="48"/>
      <c r="B150" s="48"/>
      <c r="C150" s="48"/>
      <c r="D150" s="48"/>
      <c r="E150" s="48"/>
      <c r="F150" s="48"/>
      <c r="G150" s="48"/>
      <c r="H150" s="48"/>
      <c r="I150" s="48"/>
    </row>
    <row r="151" spans="1:9" x14ac:dyDescent="0.2">
      <c r="A151" s="48"/>
      <c r="B151" s="48"/>
      <c r="C151" s="48"/>
      <c r="D151" s="48"/>
      <c r="E151" s="48"/>
      <c r="F151" s="48"/>
      <c r="G151" s="48"/>
      <c r="H151" s="48"/>
      <c r="I151" s="48"/>
    </row>
    <row r="152" spans="1:9" x14ac:dyDescent="0.2">
      <c r="A152" s="48"/>
      <c r="B152" s="48"/>
      <c r="C152" s="48"/>
      <c r="D152" s="48"/>
      <c r="E152" s="48"/>
      <c r="F152" s="48"/>
      <c r="G152" s="48"/>
      <c r="H152" s="48"/>
      <c r="I152" s="48"/>
    </row>
    <row r="153" spans="1:9" x14ac:dyDescent="0.2">
      <c r="A153" s="48"/>
      <c r="B153" s="48"/>
      <c r="C153" s="48"/>
      <c r="D153" s="48"/>
      <c r="E153" s="48"/>
      <c r="F153" s="48"/>
      <c r="G153" s="48"/>
      <c r="H153" s="48"/>
      <c r="I153" s="48"/>
    </row>
    <row r="154" spans="1:9" x14ac:dyDescent="0.2">
      <c r="A154" s="48"/>
      <c r="B154" s="48"/>
      <c r="C154" s="48"/>
      <c r="D154" s="48"/>
      <c r="E154" s="48"/>
      <c r="F154" s="48"/>
      <c r="G154" s="48"/>
      <c r="H154" s="48"/>
      <c r="I154" s="48"/>
    </row>
    <row r="155" spans="1:9" x14ac:dyDescent="0.2">
      <c r="A155" s="48"/>
      <c r="B155" s="48"/>
      <c r="C155" s="48"/>
      <c r="D155" s="48"/>
      <c r="E155" s="48"/>
      <c r="F155" s="48"/>
      <c r="G155" s="48"/>
      <c r="H155" s="48"/>
      <c r="I155" s="48"/>
    </row>
    <row r="156" spans="1:9" x14ac:dyDescent="0.2">
      <c r="A156" s="48"/>
      <c r="B156" s="48"/>
      <c r="C156" s="48"/>
      <c r="D156" s="48"/>
      <c r="E156" s="48"/>
      <c r="F156" s="48"/>
      <c r="G156" s="48"/>
      <c r="H156" s="48"/>
      <c r="I156" s="48"/>
    </row>
    <row r="157" spans="1:9" x14ac:dyDescent="0.2">
      <c r="A157" s="48"/>
      <c r="B157" s="48"/>
      <c r="C157" s="48"/>
      <c r="D157" s="48"/>
      <c r="E157" s="48"/>
      <c r="F157" s="48"/>
      <c r="G157" s="48"/>
      <c r="H157" s="48"/>
      <c r="I157" s="48"/>
    </row>
    <row r="158" spans="1:9" x14ac:dyDescent="0.2">
      <c r="A158" s="48"/>
      <c r="B158" s="48"/>
      <c r="C158" s="48"/>
      <c r="D158" s="48"/>
      <c r="E158" s="48"/>
      <c r="F158" s="48"/>
      <c r="G158" s="48"/>
      <c r="H158" s="48"/>
      <c r="I158" s="48"/>
    </row>
    <row r="159" spans="1:9" x14ac:dyDescent="0.2">
      <c r="A159" s="48"/>
      <c r="B159" s="48"/>
      <c r="C159" s="48"/>
      <c r="D159" s="48"/>
      <c r="E159" s="48"/>
      <c r="F159" s="48"/>
      <c r="G159" s="48"/>
      <c r="H159" s="48"/>
      <c r="I159" s="48"/>
    </row>
    <row r="160" spans="1:9" x14ac:dyDescent="0.2">
      <c r="A160" s="48"/>
      <c r="B160" s="48"/>
      <c r="C160" s="48"/>
      <c r="D160" s="48"/>
      <c r="E160" s="48"/>
      <c r="F160" s="48"/>
      <c r="G160" s="48"/>
      <c r="H160" s="48"/>
      <c r="I160" s="48"/>
    </row>
    <row r="161" spans="1:9" x14ac:dyDescent="0.2">
      <c r="A161" s="48"/>
      <c r="B161" s="48"/>
      <c r="C161" s="48"/>
      <c r="D161" s="48"/>
      <c r="E161" s="48"/>
      <c r="F161" s="48"/>
      <c r="G161" s="48"/>
      <c r="H161" s="48"/>
      <c r="I161" s="48"/>
    </row>
    <row r="162" spans="1:9" x14ac:dyDescent="0.2">
      <c r="A162" s="48"/>
      <c r="B162" s="48"/>
      <c r="C162" s="48"/>
      <c r="D162" s="48"/>
      <c r="E162" s="48"/>
      <c r="F162" s="48"/>
      <c r="G162" s="48"/>
      <c r="H162" s="48"/>
      <c r="I162" s="48"/>
    </row>
    <row r="163" spans="1:9" x14ac:dyDescent="0.2">
      <c r="A163" s="48"/>
      <c r="B163" s="48"/>
      <c r="C163" s="48"/>
      <c r="D163" s="48"/>
      <c r="E163" s="48"/>
      <c r="F163" s="48"/>
      <c r="G163" s="48"/>
      <c r="H163" s="48"/>
      <c r="I163" s="48"/>
    </row>
    <row r="164" spans="1:9" x14ac:dyDescent="0.2">
      <c r="A164" s="48"/>
      <c r="B164" s="48"/>
      <c r="C164" s="48"/>
      <c r="D164" s="48"/>
      <c r="E164" s="48"/>
      <c r="F164" s="48"/>
      <c r="G164" s="48"/>
      <c r="H164" s="48"/>
      <c r="I164" s="48"/>
    </row>
    <row r="165" spans="1:9" x14ac:dyDescent="0.2">
      <c r="A165" s="48"/>
      <c r="B165" s="48"/>
      <c r="C165" s="48"/>
      <c r="D165" s="48"/>
      <c r="E165" s="48"/>
      <c r="F165" s="48"/>
      <c r="G165" s="48"/>
      <c r="H165" s="48"/>
      <c r="I165" s="48"/>
    </row>
    <row r="166" spans="1:9" x14ac:dyDescent="0.2">
      <c r="A166" s="48"/>
      <c r="B166" s="48"/>
      <c r="C166" s="48"/>
      <c r="D166" s="48"/>
      <c r="E166" s="48"/>
      <c r="F166" s="48"/>
      <c r="G166" s="48"/>
      <c r="H166" s="48"/>
      <c r="I166" s="48"/>
    </row>
    <row r="167" spans="1:9" x14ac:dyDescent="0.2">
      <c r="A167" s="48"/>
      <c r="B167" s="48"/>
      <c r="C167" s="48"/>
      <c r="D167" s="48"/>
      <c r="E167" s="48"/>
      <c r="F167" s="48"/>
      <c r="G167" s="48"/>
      <c r="H167" s="48"/>
      <c r="I167" s="48"/>
    </row>
    <row r="168" spans="1:9" x14ac:dyDescent="0.2">
      <c r="A168" s="48"/>
      <c r="B168" s="48"/>
      <c r="C168" s="48"/>
      <c r="D168" s="48"/>
      <c r="E168" s="48"/>
      <c r="F168" s="48"/>
      <c r="G168" s="48"/>
      <c r="H168" s="48"/>
      <c r="I168" s="48"/>
    </row>
    <row r="169" spans="1:9" x14ac:dyDescent="0.2">
      <c r="A169" s="48"/>
      <c r="B169" s="48"/>
      <c r="C169" s="48"/>
      <c r="D169" s="48"/>
      <c r="E169" s="48"/>
      <c r="F169" s="48"/>
      <c r="G169" s="48"/>
      <c r="H169" s="48"/>
      <c r="I169" s="48"/>
    </row>
    <row r="170" spans="1:9" x14ac:dyDescent="0.2">
      <c r="A170" s="48"/>
      <c r="B170" s="48"/>
      <c r="C170" s="48"/>
      <c r="D170" s="48"/>
      <c r="E170" s="48"/>
      <c r="F170" s="48"/>
      <c r="G170" s="48"/>
      <c r="H170" s="48"/>
      <c r="I170" s="48"/>
    </row>
    <row r="171" spans="1:9" x14ac:dyDescent="0.2">
      <c r="A171" s="48"/>
      <c r="B171" s="48"/>
      <c r="C171" s="48"/>
      <c r="D171" s="48"/>
      <c r="E171" s="48"/>
      <c r="F171" s="48"/>
      <c r="G171" s="48"/>
      <c r="H171" s="48"/>
      <c r="I171" s="48"/>
    </row>
    <row r="172" spans="1:9" x14ac:dyDescent="0.2">
      <c r="A172" s="48"/>
      <c r="B172" s="48"/>
      <c r="C172" s="48"/>
      <c r="D172" s="48"/>
      <c r="E172" s="48"/>
      <c r="F172" s="48"/>
      <c r="G172" s="48"/>
      <c r="H172" s="48"/>
      <c r="I172" s="48"/>
    </row>
    <row r="173" spans="1:9" x14ac:dyDescent="0.2">
      <c r="A173" s="48"/>
      <c r="B173" s="48"/>
      <c r="C173" s="48"/>
      <c r="D173" s="48"/>
      <c r="E173" s="48"/>
      <c r="F173" s="48"/>
      <c r="G173" s="48"/>
      <c r="H173" s="48"/>
      <c r="I173" s="48"/>
    </row>
    <row r="174" spans="1:9" x14ac:dyDescent="0.2">
      <c r="A174" s="48"/>
      <c r="B174" s="48"/>
      <c r="C174" s="48"/>
      <c r="D174" s="48"/>
      <c r="E174" s="48"/>
      <c r="F174" s="48"/>
      <c r="G174" s="48"/>
      <c r="H174" s="48"/>
      <c r="I174" s="48"/>
    </row>
    <row r="175" spans="1:9" x14ac:dyDescent="0.2">
      <c r="A175" s="48"/>
      <c r="B175" s="48"/>
      <c r="C175" s="48"/>
      <c r="D175" s="48"/>
      <c r="E175" s="48"/>
      <c r="F175" s="48"/>
      <c r="G175" s="48"/>
      <c r="H175" s="48"/>
      <c r="I175" s="48"/>
    </row>
    <row r="176" spans="1:9" x14ac:dyDescent="0.2">
      <c r="A176" s="48"/>
      <c r="B176" s="48"/>
      <c r="C176" s="48"/>
      <c r="D176" s="48"/>
      <c r="E176" s="48"/>
      <c r="F176" s="48"/>
      <c r="G176" s="48"/>
      <c r="H176" s="48"/>
      <c r="I176" s="48"/>
    </row>
    <row r="177" spans="1:9" x14ac:dyDescent="0.2">
      <c r="A177" s="48"/>
      <c r="B177" s="48"/>
      <c r="C177" s="48"/>
      <c r="D177" s="48"/>
      <c r="E177" s="48"/>
      <c r="F177" s="48"/>
      <c r="G177" s="48"/>
      <c r="H177" s="48"/>
      <c r="I177" s="48"/>
    </row>
    <row r="178" spans="1:9" x14ac:dyDescent="0.2">
      <c r="A178" s="48"/>
      <c r="B178" s="48"/>
      <c r="C178" s="48"/>
      <c r="D178" s="48"/>
      <c r="E178" s="48"/>
      <c r="F178" s="48"/>
      <c r="G178" s="48"/>
      <c r="H178" s="48"/>
      <c r="I178" s="48"/>
    </row>
    <row r="179" spans="1:9" x14ac:dyDescent="0.2">
      <c r="A179" s="48"/>
      <c r="B179" s="48"/>
      <c r="C179" s="48"/>
      <c r="D179" s="48"/>
      <c r="E179" s="48"/>
      <c r="F179" s="48"/>
      <c r="G179" s="48"/>
      <c r="H179" s="48"/>
      <c r="I179" s="48"/>
    </row>
    <row r="180" spans="1:9" x14ac:dyDescent="0.2">
      <c r="A180" s="48"/>
      <c r="B180" s="48"/>
      <c r="C180" s="48"/>
      <c r="D180" s="48"/>
      <c r="E180" s="48"/>
      <c r="F180" s="48"/>
      <c r="G180" s="48"/>
      <c r="H180" s="48"/>
      <c r="I180" s="48"/>
    </row>
    <row r="181" spans="1:9" x14ac:dyDescent="0.2">
      <c r="A181" s="48"/>
      <c r="B181" s="48"/>
      <c r="C181" s="48"/>
      <c r="D181" s="48"/>
      <c r="E181" s="48"/>
      <c r="F181" s="48"/>
      <c r="G181" s="48"/>
      <c r="H181" s="48"/>
      <c r="I181" s="48"/>
    </row>
    <row r="182" spans="1:9" x14ac:dyDescent="0.2">
      <c r="A182" s="48"/>
      <c r="B182" s="48"/>
      <c r="C182" s="48"/>
      <c r="D182" s="48"/>
      <c r="E182" s="48"/>
      <c r="F182" s="48"/>
      <c r="G182" s="48"/>
      <c r="H182" s="48"/>
      <c r="I182" s="48"/>
    </row>
    <row r="183" spans="1:9" x14ac:dyDescent="0.2">
      <c r="A183" s="48"/>
      <c r="B183" s="48"/>
      <c r="C183" s="48"/>
      <c r="D183" s="48"/>
      <c r="E183" s="48"/>
      <c r="F183" s="48"/>
      <c r="G183" s="48"/>
      <c r="H183" s="48"/>
      <c r="I183" s="48"/>
    </row>
  </sheetData>
  <mergeCells count="45">
    <mergeCell ref="AB5:AB8"/>
    <mergeCell ref="AK5:AL5"/>
    <mergeCell ref="AK6:AL7"/>
    <mergeCell ref="AH7:AI7"/>
    <mergeCell ref="AD6:AI6"/>
    <mergeCell ref="AD5:AI5"/>
    <mergeCell ref="AJ5:AJ8"/>
    <mergeCell ref="A6:A8"/>
    <mergeCell ref="N26:W26"/>
    <mergeCell ref="S27:W27"/>
    <mergeCell ref="V23:W23"/>
    <mergeCell ref="M24:S24"/>
    <mergeCell ref="M25:W25"/>
    <mergeCell ref="M6:N7"/>
    <mergeCell ref="A18:B18"/>
    <mergeCell ref="L22:R22"/>
    <mergeCell ref="B6:B8"/>
    <mergeCell ref="F6:F7"/>
    <mergeCell ref="G6:G8"/>
    <mergeCell ref="H6:H8"/>
    <mergeCell ref="I6:J7"/>
    <mergeCell ref="S2:W2"/>
    <mergeCell ref="C5:H5"/>
    <mergeCell ref="I5:J5"/>
    <mergeCell ref="K5:L5"/>
    <mergeCell ref="O5:P5"/>
    <mergeCell ref="M5:N5"/>
    <mergeCell ref="A3:AM3"/>
    <mergeCell ref="AM5:AM8"/>
    <mergeCell ref="AD7:AE7"/>
    <mergeCell ref="AF7:AG7"/>
    <mergeCell ref="C6:D7"/>
    <mergeCell ref="E6:E8"/>
    <mergeCell ref="Q5:R5"/>
    <mergeCell ref="K6:L7"/>
    <mergeCell ref="O6:P7"/>
    <mergeCell ref="Q6:R7"/>
    <mergeCell ref="Z6:AA7"/>
    <mergeCell ref="X5:Y5"/>
    <mergeCell ref="X6:Y7"/>
    <mergeCell ref="S5:T5"/>
    <mergeCell ref="U5:V5"/>
    <mergeCell ref="W5:W8"/>
    <mergeCell ref="S6:T7"/>
    <mergeCell ref="U6:V7"/>
  </mergeCells>
  <phoneticPr fontId="23" type="noConversion"/>
  <pageMargins left="0.14000000000000001" right="0.14000000000000001" top="0.4" bottom="0.69" header="0.3" footer="0.3"/>
  <pageSetup paperSize="9" scale="7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183"/>
  <sheetViews>
    <sheetView topLeftCell="A3" zoomScale="87" zoomScaleNormal="87" workbookViewId="0">
      <selection activeCell="J8" sqref="J8"/>
    </sheetView>
  </sheetViews>
  <sheetFormatPr defaultColWidth="13" defaultRowHeight="11.25" x14ac:dyDescent="0.2"/>
  <cols>
    <col min="1" max="1" width="4" style="1" customWidth="1"/>
    <col min="2" max="2" width="16.28515625" style="1" customWidth="1"/>
    <col min="3" max="3" width="5.5703125" style="1" customWidth="1"/>
    <col min="4" max="4" width="8.140625" style="1" customWidth="1"/>
    <col min="5" max="5" width="6.42578125" style="1" customWidth="1"/>
    <col min="6" max="6" width="5.7109375" style="1" customWidth="1"/>
    <col min="7" max="7" width="6.42578125" style="1" customWidth="1"/>
    <col min="8" max="8" width="10" style="1" customWidth="1"/>
    <col min="9" max="11" width="8.28515625" style="1" customWidth="1"/>
    <col min="12" max="12" width="3.42578125" style="1" customWidth="1"/>
    <col min="13" max="13" width="5.85546875" style="1" customWidth="1"/>
    <col min="14" max="14" width="3.140625" style="1" customWidth="1"/>
    <col min="15" max="15" width="6.5703125" style="1" customWidth="1"/>
    <col min="16" max="16" width="4.140625" style="1" customWidth="1"/>
    <col min="17" max="17" width="5.85546875" style="1" customWidth="1"/>
    <col min="18" max="19" width="5.28515625" style="1" customWidth="1"/>
    <col min="20" max="20" width="3.42578125" style="1" customWidth="1"/>
    <col min="21" max="21" width="4.7109375" style="1" customWidth="1"/>
    <col min="22" max="22" width="4.140625" style="1" customWidth="1"/>
    <col min="23" max="23" width="7.28515625" style="1" customWidth="1"/>
    <col min="24" max="24" width="5" style="1" customWidth="1"/>
    <col min="25" max="25" width="6.5703125" style="1" customWidth="1"/>
    <col min="26" max="26" width="4.28515625" style="1" customWidth="1"/>
    <col min="27" max="27" width="6.5703125" style="1" customWidth="1"/>
    <col min="28" max="28" width="7.5703125" style="1" customWidth="1"/>
    <col min="29" max="29" width="7.28515625" style="1" customWidth="1"/>
    <col min="30" max="30" width="6.7109375" style="1" customWidth="1"/>
    <col min="31" max="16384" width="13" style="1"/>
  </cols>
  <sheetData>
    <row r="1" spans="1:37" ht="14.25" customHeight="1" x14ac:dyDescent="0.2">
      <c r="AB1" s="56" t="s">
        <v>0</v>
      </c>
    </row>
    <row r="2" spans="1:37" ht="18" customHeight="1" x14ac:dyDescent="0.2">
      <c r="X2" s="466"/>
      <c r="Y2" s="466"/>
      <c r="Z2" s="466"/>
      <c r="AA2" s="466"/>
      <c r="AB2" s="466"/>
    </row>
    <row r="3" spans="1:37" ht="55.5" customHeight="1" x14ac:dyDescent="0.2">
      <c r="A3" s="468" t="s">
        <v>33</v>
      </c>
      <c r="B3" s="468"/>
      <c r="C3" s="468"/>
      <c r="D3" s="468"/>
      <c r="E3" s="468"/>
      <c r="F3" s="468"/>
      <c r="G3" s="468"/>
      <c r="H3" s="468"/>
      <c r="I3" s="468"/>
      <c r="J3" s="468"/>
      <c r="K3" s="468"/>
      <c r="L3" s="468"/>
      <c r="M3" s="468"/>
      <c r="N3" s="468"/>
      <c r="O3" s="468"/>
      <c r="P3" s="468"/>
      <c r="Q3" s="468"/>
      <c r="R3" s="468"/>
      <c r="S3" s="468"/>
      <c r="T3" s="468"/>
      <c r="U3" s="468"/>
      <c r="V3" s="468"/>
      <c r="W3" s="468"/>
      <c r="X3" s="468"/>
      <c r="Y3" s="468"/>
      <c r="Z3" s="468"/>
      <c r="AA3" s="468"/>
      <c r="AB3" s="2"/>
    </row>
    <row r="4" spans="1:37" ht="6" customHeight="1" thickBo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</row>
    <row r="5" spans="1:37" ht="30" customHeight="1" x14ac:dyDescent="0.2">
      <c r="A5" s="4"/>
      <c r="B5" s="5"/>
      <c r="C5" s="454" t="s">
        <v>1</v>
      </c>
      <c r="D5" s="467"/>
      <c r="E5" s="467"/>
      <c r="F5" s="467"/>
      <c r="G5" s="467"/>
      <c r="H5" s="467"/>
      <c r="I5" s="455"/>
      <c r="J5" s="104"/>
      <c r="K5" s="104"/>
      <c r="L5" s="454" t="s">
        <v>2</v>
      </c>
      <c r="M5" s="455"/>
      <c r="N5" s="454" t="s">
        <v>2</v>
      </c>
      <c r="O5" s="455"/>
      <c r="P5" s="454" t="s">
        <v>2</v>
      </c>
      <c r="Q5" s="455"/>
      <c r="R5" s="456" t="s">
        <v>2</v>
      </c>
      <c r="S5" s="456"/>
      <c r="T5" s="456" t="s">
        <v>2</v>
      </c>
      <c r="U5" s="456"/>
      <c r="V5" s="454" t="s">
        <v>2</v>
      </c>
      <c r="W5" s="467"/>
      <c r="X5" s="456" t="s">
        <v>2</v>
      </c>
      <c r="Y5" s="456"/>
      <c r="Z5" s="456" t="s">
        <v>2</v>
      </c>
      <c r="AA5" s="454"/>
      <c r="AB5" s="509" t="s">
        <v>3</v>
      </c>
      <c r="AC5" s="512"/>
      <c r="AD5" s="6"/>
    </row>
    <row r="6" spans="1:37" ht="24.75" customHeight="1" x14ac:dyDescent="0.2">
      <c r="A6" s="482" t="s">
        <v>4</v>
      </c>
      <c r="B6" s="491" t="s">
        <v>5</v>
      </c>
      <c r="C6" s="473" t="s">
        <v>31</v>
      </c>
      <c r="D6" s="474"/>
      <c r="E6" s="477" t="s">
        <v>32</v>
      </c>
      <c r="F6" s="108"/>
      <c r="G6" s="108"/>
      <c r="H6" s="494" t="s">
        <v>7</v>
      </c>
      <c r="I6" s="494" t="s">
        <v>7</v>
      </c>
      <c r="J6" s="105"/>
      <c r="K6" s="105"/>
      <c r="L6" s="460" t="s">
        <v>8</v>
      </c>
      <c r="M6" s="461"/>
      <c r="N6" s="460" t="s">
        <v>9</v>
      </c>
      <c r="O6" s="461"/>
      <c r="P6" s="450" t="s">
        <v>34</v>
      </c>
      <c r="Q6" s="451"/>
      <c r="R6" s="460" t="s">
        <v>10</v>
      </c>
      <c r="S6" s="461"/>
      <c r="T6" s="460" t="s">
        <v>35</v>
      </c>
      <c r="U6" s="461"/>
      <c r="V6" s="473" t="s">
        <v>11</v>
      </c>
      <c r="W6" s="480"/>
      <c r="X6" s="460" t="s">
        <v>12</v>
      </c>
      <c r="Y6" s="461"/>
      <c r="Z6" s="460" t="s">
        <v>13</v>
      </c>
      <c r="AA6" s="464"/>
      <c r="AB6" s="510"/>
      <c r="AC6" s="512"/>
      <c r="AD6" s="6"/>
    </row>
    <row r="7" spans="1:37" ht="48" customHeight="1" x14ac:dyDescent="0.2">
      <c r="A7" s="482"/>
      <c r="B7" s="491"/>
      <c r="C7" s="475"/>
      <c r="D7" s="476"/>
      <c r="E7" s="478"/>
      <c r="F7" s="109" t="s">
        <v>36</v>
      </c>
      <c r="G7" s="109" t="s">
        <v>37</v>
      </c>
      <c r="H7" s="494"/>
      <c r="I7" s="494"/>
      <c r="J7" s="106"/>
      <c r="K7" s="106"/>
      <c r="L7" s="462"/>
      <c r="M7" s="463"/>
      <c r="N7" s="462"/>
      <c r="O7" s="463"/>
      <c r="P7" s="452"/>
      <c r="Q7" s="453"/>
      <c r="R7" s="462"/>
      <c r="S7" s="463"/>
      <c r="T7" s="462"/>
      <c r="U7" s="463"/>
      <c r="V7" s="475"/>
      <c r="W7" s="481"/>
      <c r="X7" s="462"/>
      <c r="Y7" s="463"/>
      <c r="Z7" s="462"/>
      <c r="AA7" s="465"/>
      <c r="AB7" s="510"/>
      <c r="AC7" s="512"/>
      <c r="AD7" s="6"/>
      <c r="AF7" s="9"/>
      <c r="AG7" s="506"/>
      <c r="AH7" s="506"/>
      <c r="AI7" s="10"/>
      <c r="AJ7" s="9"/>
      <c r="AK7" s="9"/>
    </row>
    <row r="8" spans="1:37" ht="76.5" customHeight="1" x14ac:dyDescent="0.2">
      <c r="A8" s="482"/>
      <c r="B8" s="491"/>
      <c r="C8" s="7" t="s">
        <v>14</v>
      </c>
      <c r="D8" s="11">
        <v>1517.13</v>
      </c>
      <c r="E8" s="479"/>
      <c r="F8" s="107">
        <v>120</v>
      </c>
      <c r="G8" s="107">
        <v>80</v>
      </c>
      <c r="H8" s="494"/>
      <c r="I8" s="494"/>
      <c r="J8" s="8"/>
      <c r="K8" s="8"/>
      <c r="L8" s="8" t="s">
        <v>14</v>
      </c>
      <c r="M8" s="13">
        <v>373</v>
      </c>
      <c r="N8" s="8" t="s">
        <v>14</v>
      </c>
      <c r="O8" s="14">
        <v>3070</v>
      </c>
      <c r="P8" s="8" t="s">
        <v>14</v>
      </c>
      <c r="Q8" s="14">
        <v>326</v>
      </c>
      <c r="R8" s="8" t="s">
        <v>14</v>
      </c>
      <c r="S8" s="14">
        <v>25</v>
      </c>
      <c r="T8" s="8" t="s">
        <v>14</v>
      </c>
      <c r="U8" s="14">
        <v>862</v>
      </c>
      <c r="V8" s="8" t="s">
        <v>14</v>
      </c>
      <c r="W8" s="8">
        <v>87</v>
      </c>
      <c r="X8" s="8" t="s">
        <v>14</v>
      </c>
      <c r="Y8" s="14">
        <v>72</v>
      </c>
      <c r="Z8" s="8" t="s">
        <v>14</v>
      </c>
      <c r="AA8" s="77">
        <v>580</v>
      </c>
      <c r="AB8" s="511"/>
      <c r="AC8" s="512"/>
      <c r="AD8" s="15"/>
      <c r="AF8" s="9"/>
      <c r="AG8" s="506"/>
      <c r="AH8" s="506"/>
      <c r="AI8" s="16"/>
      <c r="AJ8" s="9"/>
      <c r="AK8" s="9"/>
    </row>
    <row r="9" spans="1:37" ht="27" customHeight="1" x14ac:dyDescent="0.2">
      <c r="A9" s="80">
        <v>1</v>
      </c>
      <c r="B9" s="81" t="s">
        <v>15</v>
      </c>
      <c r="C9" s="82">
        <v>320</v>
      </c>
      <c r="D9" s="83">
        <f>$D$8*C9</f>
        <v>485481.60000000003</v>
      </c>
      <c r="E9" s="83">
        <v>29000</v>
      </c>
      <c r="F9" s="83"/>
      <c r="G9" s="83"/>
      <c r="H9" s="85">
        <f>D9+E9</f>
        <v>514481.60000000003</v>
      </c>
      <c r="I9" s="83">
        <f>H9</f>
        <v>514481.60000000003</v>
      </c>
      <c r="J9" s="83"/>
      <c r="K9" s="83"/>
      <c r="L9" s="82">
        <v>3</v>
      </c>
      <c r="M9" s="83">
        <f t="shared" ref="M9:M17" si="0">L9*$M$8</f>
        <v>1119</v>
      </c>
      <c r="N9" s="83">
        <v>1</v>
      </c>
      <c r="O9" s="83">
        <f t="shared" ref="O9:O17" si="1">N9*$O$8</f>
        <v>3070</v>
      </c>
      <c r="P9" s="83">
        <v>1</v>
      </c>
      <c r="Q9" s="83">
        <f t="shared" ref="Q9:Q17" si="2">P9*$Q$8</f>
        <v>326</v>
      </c>
      <c r="R9" s="82">
        <f t="shared" ref="R9:R17" si="3">C9</f>
        <v>320</v>
      </c>
      <c r="S9" s="83">
        <f t="shared" ref="S9:S17" si="4">R9*$S$8</f>
        <v>8000</v>
      </c>
      <c r="T9" s="83"/>
      <c r="U9" s="83">
        <f t="shared" ref="U9:U17" si="5">T9*$U$8</f>
        <v>0</v>
      </c>
      <c r="V9" s="87">
        <v>215</v>
      </c>
      <c r="W9" s="87">
        <f t="shared" ref="W9:W17" si="6">V9*$W$8</f>
        <v>18705</v>
      </c>
      <c r="X9" s="88"/>
      <c r="Y9" s="89"/>
      <c r="Z9" s="83"/>
      <c r="AA9" s="90">
        <f t="shared" ref="AA9:AA17" si="7">Z9*$AA$8</f>
        <v>0</v>
      </c>
      <c r="AB9" s="91">
        <f>I9+M9+O9+Q9+S9+W9+Y9+AA9+U9</f>
        <v>545701.60000000009</v>
      </c>
      <c r="AC9" s="27"/>
      <c r="AD9" s="28"/>
      <c r="AF9" s="9"/>
      <c r="AG9" s="29"/>
      <c r="AH9" s="30"/>
      <c r="AI9" s="16"/>
      <c r="AJ9" s="9"/>
      <c r="AK9" s="16"/>
    </row>
    <row r="10" spans="1:37" ht="25.5" customHeight="1" x14ac:dyDescent="0.2">
      <c r="A10" s="31">
        <v>2</v>
      </c>
      <c r="B10" s="18" t="s">
        <v>16</v>
      </c>
      <c r="C10" s="19">
        <v>416</v>
      </c>
      <c r="D10" s="20">
        <f t="shared" ref="D10:D19" si="8">$D$8*C10</f>
        <v>631126.08000000007</v>
      </c>
      <c r="E10" s="20">
        <v>29000</v>
      </c>
      <c r="F10" s="20"/>
      <c r="G10" s="20"/>
      <c r="H10" s="85">
        <f t="shared" ref="H10:H17" si="9">D10+E10</f>
        <v>660126.08000000007</v>
      </c>
      <c r="I10" s="20">
        <f t="shared" ref="I10:I17" si="10">H10</f>
        <v>660126.08000000007</v>
      </c>
      <c r="J10" s="20"/>
      <c r="K10" s="20"/>
      <c r="L10" s="19">
        <v>3</v>
      </c>
      <c r="M10" s="20">
        <f t="shared" si="0"/>
        <v>1119</v>
      </c>
      <c r="N10" s="23"/>
      <c r="O10" s="20">
        <f t="shared" si="1"/>
        <v>0</v>
      </c>
      <c r="P10" s="20">
        <v>0</v>
      </c>
      <c r="Q10" s="20">
        <f t="shared" si="2"/>
        <v>0</v>
      </c>
      <c r="R10" s="19">
        <f t="shared" si="3"/>
        <v>416</v>
      </c>
      <c r="S10" s="20">
        <f t="shared" si="4"/>
        <v>10400</v>
      </c>
      <c r="T10" s="20"/>
      <c r="U10" s="20">
        <f t="shared" si="5"/>
        <v>0</v>
      </c>
      <c r="V10" s="24">
        <v>213</v>
      </c>
      <c r="W10" s="24">
        <f t="shared" si="6"/>
        <v>18531</v>
      </c>
      <c r="X10" s="25"/>
      <c r="Y10" s="26"/>
      <c r="Z10" s="20"/>
      <c r="AA10" s="78">
        <f t="shared" si="7"/>
        <v>0</v>
      </c>
      <c r="AB10" s="79">
        <f t="shared" ref="AB10:AB20" si="11">I10+M10+O10+Q10+S10+W10+Y10+AA10+U10</f>
        <v>690176.08000000007</v>
      </c>
      <c r="AC10" s="27"/>
      <c r="AD10" s="28"/>
      <c r="AF10" s="9"/>
      <c r="AG10" s="29"/>
      <c r="AH10" s="30"/>
      <c r="AI10" s="16"/>
      <c r="AJ10" s="9"/>
      <c r="AK10" s="16"/>
    </row>
    <row r="11" spans="1:37" ht="29.25" customHeight="1" x14ac:dyDescent="0.2">
      <c r="A11" s="92">
        <v>3</v>
      </c>
      <c r="B11" s="81" t="s">
        <v>17</v>
      </c>
      <c r="C11" s="82">
        <v>559</v>
      </c>
      <c r="D11" s="83">
        <f t="shared" si="8"/>
        <v>848075.67</v>
      </c>
      <c r="E11" s="83">
        <v>29000</v>
      </c>
      <c r="F11" s="83"/>
      <c r="G11" s="83"/>
      <c r="H11" s="85">
        <f t="shared" si="9"/>
        <v>877075.67</v>
      </c>
      <c r="I11" s="83">
        <f t="shared" si="10"/>
        <v>877075.67</v>
      </c>
      <c r="J11" s="83"/>
      <c r="K11" s="83"/>
      <c r="L11" s="82">
        <v>15</v>
      </c>
      <c r="M11" s="83">
        <f t="shared" si="0"/>
        <v>5595</v>
      </c>
      <c r="N11" s="83"/>
      <c r="O11" s="83">
        <f t="shared" si="1"/>
        <v>0</v>
      </c>
      <c r="P11" s="83">
        <v>36</v>
      </c>
      <c r="Q11" s="83">
        <f t="shared" si="2"/>
        <v>11736</v>
      </c>
      <c r="R11" s="82">
        <f t="shared" si="3"/>
        <v>559</v>
      </c>
      <c r="S11" s="83">
        <f t="shared" si="4"/>
        <v>13975</v>
      </c>
      <c r="T11" s="83">
        <v>1</v>
      </c>
      <c r="U11" s="83">
        <f t="shared" si="5"/>
        <v>862</v>
      </c>
      <c r="V11" s="87">
        <v>97</v>
      </c>
      <c r="W11" s="87">
        <f t="shared" si="6"/>
        <v>8439</v>
      </c>
      <c r="X11" s="93">
        <v>283</v>
      </c>
      <c r="Y11" s="83">
        <f t="shared" ref="Y11:Y17" si="12">X11*$Y$8</f>
        <v>20376</v>
      </c>
      <c r="Z11" s="83">
        <v>348</v>
      </c>
      <c r="AA11" s="90">
        <f t="shared" si="7"/>
        <v>201840</v>
      </c>
      <c r="AB11" s="91">
        <f t="shared" si="11"/>
        <v>1139898.67</v>
      </c>
      <c r="AC11" s="27"/>
      <c r="AD11" s="28"/>
      <c r="AF11" s="9"/>
      <c r="AG11" s="29"/>
      <c r="AH11" s="30"/>
      <c r="AI11" s="16"/>
      <c r="AJ11" s="9"/>
      <c r="AK11" s="16"/>
    </row>
    <row r="12" spans="1:37" ht="25.5" customHeight="1" x14ac:dyDescent="0.2">
      <c r="A12" s="17">
        <v>4</v>
      </c>
      <c r="B12" s="18" t="s">
        <v>18</v>
      </c>
      <c r="C12" s="19">
        <v>428</v>
      </c>
      <c r="D12" s="20">
        <f t="shared" si="8"/>
        <v>649331.64</v>
      </c>
      <c r="E12" s="20">
        <v>29000</v>
      </c>
      <c r="F12" s="20"/>
      <c r="G12" s="20"/>
      <c r="H12" s="85">
        <f t="shared" si="9"/>
        <v>678331.64</v>
      </c>
      <c r="I12" s="20">
        <f t="shared" si="10"/>
        <v>678331.64</v>
      </c>
      <c r="J12" s="20"/>
      <c r="K12" s="20"/>
      <c r="L12" s="19"/>
      <c r="M12" s="20">
        <f t="shared" si="0"/>
        <v>0</v>
      </c>
      <c r="N12" s="20">
        <v>1</v>
      </c>
      <c r="O12" s="20">
        <f t="shared" si="1"/>
        <v>3070</v>
      </c>
      <c r="P12" s="20">
        <v>15</v>
      </c>
      <c r="Q12" s="20">
        <f t="shared" si="2"/>
        <v>4890</v>
      </c>
      <c r="R12" s="19">
        <f t="shared" si="3"/>
        <v>428</v>
      </c>
      <c r="S12" s="20">
        <f t="shared" si="4"/>
        <v>10700</v>
      </c>
      <c r="T12" s="20"/>
      <c r="U12" s="20">
        <f t="shared" si="5"/>
        <v>0</v>
      </c>
      <c r="V12" s="24"/>
      <c r="W12" s="24">
        <f t="shared" si="6"/>
        <v>0</v>
      </c>
      <c r="X12" s="32">
        <v>229</v>
      </c>
      <c r="Y12" s="20">
        <f t="shared" si="12"/>
        <v>16488</v>
      </c>
      <c r="Z12" s="20">
        <v>246</v>
      </c>
      <c r="AA12" s="78">
        <f t="shared" si="7"/>
        <v>142680</v>
      </c>
      <c r="AB12" s="79">
        <f t="shared" si="11"/>
        <v>856159.64</v>
      </c>
      <c r="AC12" s="27"/>
      <c r="AD12" s="28"/>
      <c r="AF12" s="16"/>
      <c r="AG12" s="16"/>
      <c r="AH12" s="30"/>
      <c r="AI12" s="16"/>
      <c r="AJ12" s="16"/>
      <c r="AK12" s="16"/>
    </row>
    <row r="13" spans="1:37" ht="33.950000000000003" customHeight="1" x14ac:dyDescent="0.2">
      <c r="A13" s="80">
        <v>5</v>
      </c>
      <c r="B13" s="94" t="s">
        <v>19</v>
      </c>
      <c r="C13" s="87">
        <v>444</v>
      </c>
      <c r="D13" s="83">
        <f t="shared" si="8"/>
        <v>673605.72000000009</v>
      </c>
      <c r="E13" s="83">
        <v>29000</v>
      </c>
      <c r="F13" s="83"/>
      <c r="G13" s="83"/>
      <c r="H13" s="85">
        <f t="shared" si="9"/>
        <v>702605.72000000009</v>
      </c>
      <c r="I13" s="83">
        <f t="shared" si="10"/>
        <v>702605.72000000009</v>
      </c>
      <c r="J13" s="83"/>
      <c r="K13" s="83"/>
      <c r="L13" s="87"/>
      <c r="M13" s="88">
        <f t="shared" si="0"/>
        <v>0</v>
      </c>
      <c r="N13" s="88"/>
      <c r="O13" s="83">
        <f t="shared" si="1"/>
        <v>0</v>
      </c>
      <c r="P13" s="83">
        <v>29</v>
      </c>
      <c r="Q13" s="88">
        <f t="shared" si="2"/>
        <v>9454</v>
      </c>
      <c r="R13" s="87">
        <f t="shared" si="3"/>
        <v>444</v>
      </c>
      <c r="S13" s="88">
        <f t="shared" si="4"/>
        <v>11100</v>
      </c>
      <c r="T13" s="88">
        <v>3</v>
      </c>
      <c r="U13" s="83">
        <f t="shared" si="5"/>
        <v>2586</v>
      </c>
      <c r="V13" s="95"/>
      <c r="W13" s="87">
        <f t="shared" si="6"/>
        <v>0</v>
      </c>
      <c r="X13" s="93">
        <v>258</v>
      </c>
      <c r="Y13" s="88">
        <f t="shared" si="12"/>
        <v>18576</v>
      </c>
      <c r="Z13" s="88">
        <v>335</v>
      </c>
      <c r="AA13" s="90">
        <f t="shared" si="7"/>
        <v>194300</v>
      </c>
      <c r="AB13" s="91">
        <f t="shared" si="11"/>
        <v>938621.72000000009</v>
      </c>
      <c r="AC13" s="27"/>
      <c r="AD13" s="28"/>
      <c r="AF13" s="9"/>
      <c r="AG13" s="9"/>
      <c r="AH13" s="9"/>
      <c r="AI13" s="16"/>
      <c r="AJ13" s="9"/>
      <c r="AK13" s="9"/>
    </row>
    <row r="14" spans="1:37" ht="25.5" customHeight="1" x14ac:dyDescent="0.2">
      <c r="A14" s="31">
        <v>6</v>
      </c>
      <c r="B14" s="18" t="s">
        <v>20</v>
      </c>
      <c r="C14" s="19">
        <v>631</v>
      </c>
      <c r="D14" s="20">
        <f t="shared" si="8"/>
        <v>957309.03</v>
      </c>
      <c r="E14" s="20">
        <v>29000</v>
      </c>
      <c r="F14" s="20"/>
      <c r="G14" s="20"/>
      <c r="H14" s="85">
        <f t="shared" si="9"/>
        <v>986309.03</v>
      </c>
      <c r="I14" s="20">
        <f t="shared" si="10"/>
        <v>986309.03</v>
      </c>
      <c r="J14" s="20"/>
      <c r="K14" s="20"/>
      <c r="L14" s="19"/>
      <c r="M14" s="20">
        <f t="shared" si="0"/>
        <v>0</v>
      </c>
      <c r="N14" s="20"/>
      <c r="O14" s="20">
        <f t="shared" si="1"/>
        <v>0</v>
      </c>
      <c r="P14" s="20">
        <v>25</v>
      </c>
      <c r="Q14" s="20">
        <f t="shared" si="2"/>
        <v>8150</v>
      </c>
      <c r="R14" s="19">
        <f t="shared" si="3"/>
        <v>631</v>
      </c>
      <c r="S14" s="20">
        <f t="shared" si="4"/>
        <v>15775</v>
      </c>
      <c r="T14" s="20"/>
      <c r="U14" s="20">
        <f t="shared" si="5"/>
        <v>0</v>
      </c>
      <c r="V14" s="33"/>
      <c r="W14" s="24">
        <f t="shared" si="6"/>
        <v>0</v>
      </c>
      <c r="X14" s="32">
        <v>414</v>
      </c>
      <c r="Y14" s="20">
        <f t="shared" si="12"/>
        <v>29808</v>
      </c>
      <c r="Z14" s="20">
        <v>505</v>
      </c>
      <c r="AA14" s="78">
        <f t="shared" si="7"/>
        <v>292900</v>
      </c>
      <c r="AB14" s="79">
        <f t="shared" si="11"/>
        <v>1332942.03</v>
      </c>
      <c r="AC14" s="27"/>
      <c r="AD14" s="28"/>
      <c r="AF14" s="9"/>
      <c r="AG14" s="9"/>
      <c r="AH14" s="9"/>
      <c r="AI14" s="16"/>
      <c r="AJ14" s="9"/>
      <c r="AK14" s="9"/>
    </row>
    <row r="15" spans="1:37" ht="39.75" customHeight="1" x14ac:dyDescent="0.2">
      <c r="A15" s="80">
        <v>7</v>
      </c>
      <c r="B15" s="81" t="s">
        <v>21</v>
      </c>
      <c r="C15" s="82">
        <v>92</v>
      </c>
      <c r="D15" s="83">
        <f t="shared" si="8"/>
        <v>139575.96000000002</v>
      </c>
      <c r="E15" s="83">
        <v>29000</v>
      </c>
      <c r="F15" s="83">
        <f>F8*C15</f>
        <v>11040</v>
      </c>
      <c r="G15" s="83"/>
      <c r="H15" s="85">
        <f t="shared" si="9"/>
        <v>168575.96000000002</v>
      </c>
      <c r="I15" s="83">
        <f t="shared" si="10"/>
        <v>168575.96000000002</v>
      </c>
      <c r="J15" s="83"/>
      <c r="K15" s="83"/>
      <c r="L15" s="82">
        <v>26</v>
      </c>
      <c r="M15" s="83">
        <f t="shared" si="0"/>
        <v>9698</v>
      </c>
      <c r="N15" s="86"/>
      <c r="O15" s="83">
        <f t="shared" si="1"/>
        <v>0</v>
      </c>
      <c r="P15" s="83">
        <v>10</v>
      </c>
      <c r="Q15" s="83">
        <f t="shared" si="2"/>
        <v>3260</v>
      </c>
      <c r="R15" s="82">
        <f t="shared" si="3"/>
        <v>92</v>
      </c>
      <c r="S15" s="83">
        <f t="shared" si="4"/>
        <v>2300</v>
      </c>
      <c r="T15" s="83"/>
      <c r="U15" s="83">
        <f t="shared" si="5"/>
        <v>0</v>
      </c>
      <c r="V15" s="95"/>
      <c r="W15" s="87">
        <f t="shared" si="6"/>
        <v>0</v>
      </c>
      <c r="X15" s="96">
        <v>48</v>
      </c>
      <c r="Y15" s="83">
        <f t="shared" si="12"/>
        <v>3456</v>
      </c>
      <c r="Z15" s="83">
        <v>52</v>
      </c>
      <c r="AA15" s="90">
        <f t="shared" si="7"/>
        <v>30160</v>
      </c>
      <c r="AB15" s="91">
        <f t="shared" si="11"/>
        <v>217449.96000000002</v>
      </c>
      <c r="AC15" s="27"/>
      <c r="AD15" s="28"/>
    </row>
    <row r="16" spans="1:37" ht="27" customHeight="1" x14ac:dyDescent="0.2">
      <c r="A16" s="17">
        <v>8</v>
      </c>
      <c r="B16" s="18" t="s">
        <v>22</v>
      </c>
      <c r="C16" s="19">
        <v>146</v>
      </c>
      <c r="D16" s="20">
        <f t="shared" si="8"/>
        <v>221500.98</v>
      </c>
      <c r="E16" s="20">
        <v>29000</v>
      </c>
      <c r="F16" s="20"/>
      <c r="G16" s="20">
        <f>G8*C16</f>
        <v>11680</v>
      </c>
      <c r="H16" s="85">
        <f t="shared" si="9"/>
        <v>250500.98</v>
      </c>
      <c r="I16" s="20">
        <f t="shared" si="10"/>
        <v>250500.98</v>
      </c>
      <c r="J16" s="20"/>
      <c r="K16" s="20"/>
      <c r="L16" s="19">
        <v>15</v>
      </c>
      <c r="M16" s="20">
        <f t="shared" si="0"/>
        <v>5595</v>
      </c>
      <c r="N16" s="23"/>
      <c r="O16" s="20">
        <f t="shared" si="1"/>
        <v>0</v>
      </c>
      <c r="P16" s="20">
        <v>1</v>
      </c>
      <c r="Q16" s="20">
        <f t="shared" si="2"/>
        <v>326</v>
      </c>
      <c r="R16" s="19">
        <f t="shared" si="3"/>
        <v>146</v>
      </c>
      <c r="S16" s="20">
        <f t="shared" si="4"/>
        <v>3650</v>
      </c>
      <c r="T16" s="20"/>
      <c r="U16" s="20">
        <f t="shared" si="5"/>
        <v>0</v>
      </c>
      <c r="V16" s="24"/>
      <c r="W16" s="24">
        <f t="shared" si="6"/>
        <v>0</v>
      </c>
      <c r="X16" s="32">
        <v>66</v>
      </c>
      <c r="Y16" s="20">
        <f t="shared" si="12"/>
        <v>4752</v>
      </c>
      <c r="Z16" s="20">
        <v>146</v>
      </c>
      <c r="AA16" s="78">
        <f t="shared" si="7"/>
        <v>84680</v>
      </c>
      <c r="AB16" s="79">
        <f t="shared" si="11"/>
        <v>349503.98</v>
      </c>
      <c r="AC16" s="27"/>
      <c r="AD16" s="28"/>
    </row>
    <row r="17" spans="1:30" ht="33" customHeight="1" x14ac:dyDescent="0.2">
      <c r="A17" s="92">
        <v>9</v>
      </c>
      <c r="B17" s="81" t="s">
        <v>23</v>
      </c>
      <c r="C17" s="82">
        <v>49</v>
      </c>
      <c r="D17" s="83">
        <f t="shared" si="8"/>
        <v>74339.37000000001</v>
      </c>
      <c r="E17" s="83">
        <v>29000</v>
      </c>
      <c r="F17" s="83">
        <f>F8*C17</f>
        <v>5880</v>
      </c>
      <c r="G17" s="83"/>
      <c r="H17" s="85">
        <f t="shared" si="9"/>
        <v>103339.37000000001</v>
      </c>
      <c r="I17" s="83">
        <f t="shared" si="10"/>
        <v>103339.37000000001</v>
      </c>
      <c r="J17" s="83"/>
      <c r="K17" s="83"/>
      <c r="L17" s="82">
        <v>11</v>
      </c>
      <c r="M17" s="83">
        <f t="shared" si="0"/>
        <v>4103</v>
      </c>
      <c r="N17" s="86"/>
      <c r="O17" s="83">
        <f t="shared" si="1"/>
        <v>0</v>
      </c>
      <c r="P17" s="83">
        <v>9</v>
      </c>
      <c r="Q17" s="83">
        <f t="shared" si="2"/>
        <v>2934</v>
      </c>
      <c r="R17" s="82">
        <f t="shared" si="3"/>
        <v>49</v>
      </c>
      <c r="S17" s="83">
        <f t="shared" si="4"/>
        <v>1225</v>
      </c>
      <c r="T17" s="83"/>
      <c r="U17" s="83">
        <f t="shared" si="5"/>
        <v>0</v>
      </c>
      <c r="V17" s="87"/>
      <c r="W17" s="87">
        <f t="shared" si="6"/>
        <v>0</v>
      </c>
      <c r="X17" s="93">
        <v>25</v>
      </c>
      <c r="Y17" s="83">
        <f t="shared" si="12"/>
        <v>1800</v>
      </c>
      <c r="Z17" s="83">
        <v>43</v>
      </c>
      <c r="AA17" s="90">
        <f t="shared" si="7"/>
        <v>24940</v>
      </c>
      <c r="AB17" s="91">
        <f t="shared" si="11"/>
        <v>138341.37</v>
      </c>
      <c r="AC17" s="27"/>
      <c r="AD17" s="28"/>
    </row>
    <row r="18" spans="1:30" ht="18" customHeight="1" x14ac:dyDescent="0.2">
      <c r="A18" s="507" t="s">
        <v>24</v>
      </c>
      <c r="B18" s="508"/>
      <c r="C18" s="97">
        <f t="shared" ref="C18:I18" si="13">SUM(C9:C17)</f>
        <v>3085</v>
      </c>
      <c r="D18" s="98">
        <f t="shared" si="13"/>
        <v>4680346.0500000007</v>
      </c>
      <c r="E18" s="98">
        <f>SUM(E9:E17)</f>
        <v>261000</v>
      </c>
      <c r="F18" s="98"/>
      <c r="G18" s="98"/>
      <c r="H18" s="100">
        <f t="shared" si="13"/>
        <v>4941346.0500000007</v>
      </c>
      <c r="I18" s="98">
        <f t="shared" si="13"/>
        <v>4941346.0500000007</v>
      </c>
      <c r="J18" s="98"/>
      <c r="K18" s="98"/>
      <c r="L18" s="97">
        <f>SUM(L9:L17)</f>
        <v>73</v>
      </c>
      <c r="M18" s="98">
        <f t="shared" ref="M18:AA18" si="14">SUM(M9:M17)</f>
        <v>27229</v>
      </c>
      <c r="N18" s="97">
        <f t="shared" si="14"/>
        <v>2</v>
      </c>
      <c r="O18" s="97">
        <f t="shared" si="14"/>
        <v>6140</v>
      </c>
      <c r="P18" s="97">
        <f t="shared" si="14"/>
        <v>126</v>
      </c>
      <c r="Q18" s="98">
        <f t="shared" si="14"/>
        <v>41076</v>
      </c>
      <c r="R18" s="98">
        <f t="shared" si="14"/>
        <v>3085</v>
      </c>
      <c r="S18" s="98">
        <f>SUM(S9:S17)</f>
        <v>77125</v>
      </c>
      <c r="T18" s="98">
        <f>SUM(T9:T17)</f>
        <v>4</v>
      </c>
      <c r="U18" s="98">
        <f>SUM(U9:U17)</f>
        <v>3448</v>
      </c>
      <c r="V18" s="101">
        <f>SUM(V9:V17)</f>
        <v>525</v>
      </c>
      <c r="W18" s="101">
        <f t="shared" si="14"/>
        <v>45675</v>
      </c>
      <c r="X18" s="101">
        <f t="shared" si="14"/>
        <v>1323</v>
      </c>
      <c r="Y18" s="98">
        <f t="shared" si="14"/>
        <v>95256</v>
      </c>
      <c r="Z18" s="98">
        <f t="shared" si="14"/>
        <v>1675</v>
      </c>
      <c r="AA18" s="102">
        <f t="shared" si="14"/>
        <v>971500</v>
      </c>
      <c r="AB18" s="103">
        <f t="shared" si="11"/>
        <v>6208795.0500000007</v>
      </c>
      <c r="AC18" s="27"/>
      <c r="AD18" s="28"/>
    </row>
    <row r="19" spans="1:30" ht="22.5" customHeight="1" x14ac:dyDescent="0.2">
      <c r="A19" s="34">
        <v>10</v>
      </c>
      <c r="B19" s="35" t="s">
        <v>25</v>
      </c>
      <c r="C19" s="36">
        <v>71</v>
      </c>
      <c r="D19" s="20">
        <f t="shared" si="8"/>
        <v>107716.23000000001</v>
      </c>
      <c r="E19" s="36"/>
      <c r="F19" s="36"/>
      <c r="G19" s="36"/>
      <c r="H19" s="36"/>
      <c r="I19" s="36">
        <f>C19*D8</f>
        <v>107716.23000000001</v>
      </c>
      <c r="J19" s="36"/>
      <c r="K19" s="36"/>
      <c r="L19" s="36">
        <v>25</v>
      </c>
      <c r="M19" s="20">
        <f>L19*$M$8</f>
        <v>9325</v>
      </c>
      <c r="N19" s="36">
        <v>-1</v>
      </c>
      <c r="O19" s="20">
        <f>N19*$O$8</f>
        <v>-3070</v>
      </c>
      <c r="P19" s="36">
        <v>1</v>
      </c>
      <c r="Q19" s="20">
        <f>P19*$Q$8</f>
        <v>326</v>
      </c>
      <c r="R19" s="36">
        <v>71</v>
      </c>
      <c r="S19" s="20">
        <f>R19*$S$8</f>
        <v>1775</v>
      </c>
      <c r="T19" s="36">
        <v>1</v>
      </c>
      <c r="U19" s="20">
        <f>T19*$U$8</f>
        <v>862</v>
      </c>
      <c r="V19" s="36">
        <v>-61</v>
      </c>
      <c r="W19" s="24">
        <f>V19*$W$8</f>
        <v>-5307</v>
      </c>
      <c r="X19" s="36">
        <v>-2</v>
      </c>
      <c r="Y19" s="20">
        <f>X19*$Y$8</f>
        <v>-144</v>
      </c>
      <c r="Z19" s="36">
        <v>16</v>
      </c>
      <c r="AA19" s="78">
        <f>Z19*$AA$8</f>
        <v>9280</v>
      </c>
      <c r="AB19" s="79">
        <f t="shared" si="11"/>
        <v>120763.23000000001</v>
      </c>
      <c r="AC19" s="27"/>
      <c r="AD19" s="37"/>
    </row>
    <row r="20" spans="1:30" ht="20.25" customHeight="1" thickBot="1" x14ac:dyDescent="0.25">
      <c r="A20" s="38"/>
      <c r="B20" s="39" t="s">
        <v>26</v>
      </c>
      <c r="C20" s="40">
        <f>C18+C19</f>
        <v>3156</v>
      </c>
      <c r="D20" s="40">
        <f>D18+D19</f>
        <v>4788062.2800000012</v>
      </c>
      <c r="E20" s="41"/>
      <c r="F20" s="41"/>
      <c r="G20" s="41"/>
      <c r="H20" s="42">
        <f t="shared" ref="H20:AA20" si="15">H18+H19</f>
        <v>4941346.0500000007</v>
      </c>
      <c r="I20" s="41">
        <f t="shared" si="15"/>
        <v>5049062.2800000012</v>
      </c>
      <c r="J20" s="41"/>
      <c r="K20" s="41"/>
      <c r="L20" s="41">
        <f t="shared" si="15"/>
        <v>98</v>
      </c>
      <c r="M20" s="41">
        <f t="shared" si="15"/>
        <v>36554</v>
      </c>
      <c r="N20" s="41">
        <f t="shared" si="15"/>
        <v>1</v>
      </c>
      <c r="O20" s="41">
        <f t="shared" si="15"/>
        <v>3070</v>
      </c>
      <c r="P20" s="41">
        <f t="shared" si="15"/>
        <v>127</v>
      </c>
      <c r="Q20" s="41">
        <f t="shared" si="15"/>
        <v>41402</v>
      </c>
      <c r="R20" s="41">
        <f t="shared" si="15"/>
        <v>3156</v>
      </c>
      <c r="S20" s="41">
        <f t="shared" si="15"/>
        <v>78900</v>
      </c>
      <c r="T20" s="41">
        <f t="shared" si="15"/>
        <v>5</v>
      </c>
      <c r="U20" s="41">
        <f t="shared" si="15"/>
        <v>4310</v>
      </c>
      <c r="V20" s="41">
        <f t="shared" si="15"/>
        <v>464</v>
      </c>
      <c r="W20" s="41">
        <f t="shared" si="15"/>
        <v>40368</v>
      </c>
      <c r="X20" s="41">
        <f t="shared" si="15"/>
        <v>1321</v>
      </c>
      <c r="Y20" s="41">
        <f t="shared" si="15"/>
        <v>95112</v>
      </c>
      <c r="Z20" s="41">
        <f t="shared" si="15"/>
        <v>1691</v>
      </c>
      <c r="AA20" s="43">
        <f t="shared" si="15"/>
        <v>980780</v>
      </c>
      <c r="AB20" s="79">
        <f t="shared" si="11"/>
        <v>6329558.2800000012</v>
      </c>
      <c r="AC20" s="27"/>
      <c r="AD20" s="37"/>
    </row>
    <row r="21" spans="1:30" ht="35.25" customHeight="1" x14ac:dyDescent="0.2">
      <c r="A21" s="44"/>
      <c r="B21" s="44"/>
      <c r="C21" s="45"/>
      <c r="D21" s="45"/>
      <c r="E21" s="45"/>
      <c r="F21" s="45"/>
      <c r="G21" s="45"/>
      <c r="H21" s="27"/>
      <c r="I21" s="27"/>
      <c r="J21" s="27"/>
      <c r="K21" s="2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5"/>
      <c r="W21" s="45"/>
      <c r="X21" s="27"/>
      <c r="Y21" s="47"/>
      <c r="Z21" s="47"/>
      <c r="AA21" s="47"/>
      <c r="AB21" s="47"/>
      <c r="AC21" s="48"/>
      <c r="AD21" s="6"/>
    </row>
    <row r="22" spans="1:30" ht="15.75" customHeight="1" x14ac:dyDescent="0.25">
      <c r="A22" s="44"/>
      <c r="B22" s="49"/>
      <c r="C22" s="486" t="s">
        <v>27</v>
      </c>
      <c r="D22" s="486"/>
      <c r="E22" s="49"/>
      <c r="F22" s="49"/>
      <c r="G22" s="49"/>
      <c r="H22" s="49"/>
      <c r="I22" s="49"/>
      <c r="J22" s="49"/>
      <c r="K22" s="49"/>
      <c r="L22" s="49"/>
      <c r="M22" s="50"/>
      <c r="N22" s="50"/>
      <c r="O22" s="490"/>
      <c r="P22" s="490"/>
      <c r="Q22" s="490"/>
      <c r="R22" s="490"/>
      <c r="S22" s="490"/>
      <c r="T22" s="490"/>
      <c r="U22" s="490"/>
      <c r="V22" s="490"/>
      <c r="W22" s="490"/>
      <c r="X22" s="49"/>
      <c r="Y22" s="505" t="s">
        <v>28</v>
      </c>
      <c r="Z22" s="505"/>
      <c r="AA22" s="505"/>
      <c r="AB22" s="505"/>
    </row>
    <row r="23" spans="1:30" ht="15.75" customHeight="1" x14ac:dyDescent="0.25">
      <c r="A23" s="44"/>
      <c r="B23" s="49"/>
      <c r="C23" s="49"/>
      <c r="D23" s="52" t="s">
        <v>29</v>
      </c>
      <c r="E23" s="49"/>
      <c r="F23" s="49"/>
      <c r="G23" s="49"/>
      <c r="H23" s="49"/>
      <c r="I23" s="49"/>
      <c r="J23" s="49"/>
      <c r="K23" s="49"/>
      <c r="L23" s="49"/>
      <c r="M23" s="50"/>
      <c r="N23" s="50"/>
      <c r="O23" s="50"/>
      <c r="P23" s="50"/>
      <c r="Q23" s="50"/>
      <c r="R23" s="52"/>
      <c r="S23" s="49"/>
      <c r="T23" s="49"/>
      <c r="U23" s="49"/>
      <c r="V23" s="49"/>
      <c r="W23" s="49"/>
      <c r="X23" s="49"/>
      <c r="Y23" s="51"/>
      <c r="Z23" s="51"/>
      <c r="AA23" s="485" t="s">
        <v>30</v>
      </c>
      <c r="AB23" s="485"/>
    </row>
    <row r="24" spans="1:30" ht="7.5" customHeight="1" x14ac:dyDescent="0.2"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86"/>
      <c r="R24" s="486"/>
      <c r="S24" s="486"/>
      <c r="T24" s="486"/>
      <c r="U24" s="486"/>
      <c r="V24" s="486"/>
      <c r="W24" s="486"/>
      <c r="X24" s="486"/>
      <c r="Y24" s="53"/>
      <c r="Z24" s="53"/>
      <c r="AA24" s="49"/>
      <c r="AB24" s="49"/>
    </row>
    <row r="25" spans="1:30" ht="27" customHeight="1" x14ac:dyDescent="0.25"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3"/>
      <c r="M25" s="53"/>
      <c r="N25" s="53"/>
      <c r="O25" s="53"/>
      <c r="P25" s="53"/>
      <c r="Q25" s="53"/>
      <c r="R25" s="487"/>
      <c r="S25" s="487"/>
      <c r="T25" s="487"/>
      <c r="U25" s="487"/>
      <c r="V25" s="487"/>
      <c r="W25" s="487"/>
      <c r="X25" s="487"/>
      <c r="Y25" s="487"/>
      <c r="Z25" s="487"/>
      <c r="AA25" s="487"/>
      <c r="AB25" s="487"/>
    </row>
    <row r="26" spans="1:30" ht="20.25" customHeight="1" x14ac:dyDescent="0.25">
      <c r="A26" s="10"/>
      <c r="B26" s="54"/>
      <c r="C26" s="54"/>
      <c r="D26" s="54"/>
      <c r="E26" s="54"/>
      <c r="F26" s="54"/>
      <c r="G26" s="54"/>
      <c r="H26" s="54"/>
      <c r="I26" s="54"/>
      <c r="J26" s="54"/>
      <c r="K26" s="54"/>
      <c r="L26" s="55"/>
      <c r="M26" s="55"/>
      <c r="N26" s="55"/>
      <c r="O26" s="55"/>
      <c r="P26" s="55"/>
      <c r="Q26" s="55"/>
      <c r="R26" s="56"/>
      <c r="S26" s="483"/>
      <c r="T26" s="483"/>
      <c r="U26" s="483"/>
      <c r="V26" s="483"/>
      <c r="W26" s="483"/>
      <c r="X26" s="483"/>
      <c r="Y26" s="483"/>
      <c r="Z26" s="483"/>
      <c r="AA26" s="483"/>
      <c r="AB26" s="483"/>
    </row>
    <row r="27" spans="1:30" ht="15.75" customHeight="1" x14ac:dyDescent="0.2">
      <c r="A27" s="10"/>
      <c r="B27" s="57"/>
      <c r="C27" s="58"/>
      <c r="D27" s="58"/>
      <c r="E27" s="58"/>
      <c r="F27" s="58"/>
      <c r="G27" s="58"/>
      <c r="H27" s="58"/>
      <c r="I27" s="58"/>
      <c r="J27" s="58"/>
      <c r="K27" s="58"/>
      <c r="L27" s="55"/>
      <c r="M27" s="55"/>
      <c r="N27" s="55"/>
      <c r="O27" s="55"/>
      <c r="P27" s="55"/>
      <c r="Q27" s="55"/>
      <c r="R27" s="55"/>
      <c r="S27" s="55"/>
      <c r="T27" s="55"/>
      <c r="U27" s="55"/>
      <c r="V27" s="55"/>
      <c r="W27" s="55"/>
      <c r="X27" s="484"/>
      <c r="Y27" s="484"/>
      <c r="Z27" s="484"/>
      <c r="AA27" s="484"/>
      <c r="AB27" s="484"/>
    </row>
    <row r="28" spans="1:30" x14ac:dyDescent="0.2">
      <c r="A28" s="10"/>
      <c r="B28" s="59"/>
      <c r="C28" s="60"/>
      <c r="D28" s="60"/>
      <c r="E28" s="60"/>
      <c r="F28" s="60"/>
      <c r="G28" s="60"/>
      <c r="H28" s="62"/>
      <c r="I28" s="62"/>
      <c r="J28" s="62"/>
      <c r="K28" s="62"/>
      <c r="L28" s="63"/>
      <c r="M28" s="63"/>
      <c r="N28" s="63"/>
      <c r="O28" s="63"/>
      <c r="P28" s="63"/>
      <c r="Q28" s="63"/>
      <c r="R28" s="63"/>
      <c r="S28" s="63"/>
      <c r="T28" s="63"/>
      <c r="U28" s="63"/>
      <c r="V28" s="63"/>
      <c r="W28" s="63"/>
      <c r="X28" s="63"/>
      <c r="Y28" s="63"/>
      <c r="Z28" s="63"/>
      <c r="AA28" s="63"/>
      <c r="AB28" s="63"/>
    </row>
    <row r="29" spans="1:30" x14ac:dyDescent="0.2">
      <c r="A29" s="64"/>
      <c r="B29" s="59"/>
      <c r="C29" s="60"/>
      <c r="D29" s="60"/>
      <c r="E29" s="60"/>
      <c r="F29" s="60"/>
      <c r="G29" s="60"/>
      <c r="H29" s="60"/>
      <c r="I29" s="60"/>
      <c r="J29" s="60"/>
      <c r="K29" s="60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3"/>
      <c r="AA29" s="63"/>
      <c r="AB29" s="63"/>
    </row>
    <row r="30" spans="1:30" x14ac:dyDescent="0.2">
      <c r="A30" s="65"/>
      <c r="B30" s="59"/>
      <c r="C30" s="66"/>
      <c r="D30" s="60"/>
      <c r="E30" s="60"/>
      <c r="F30" s="60"/>
      <c r="G30" s="60"/>
      <c r="H30" s="66"/>
      <c r="I30" s="66"/>
      <c r="J30" s="66"/>
      <c r="K30" s="66"/>
      <c r="L30" s="63"/>
      <c r="M30" s="63"/>
      <c r="N30" s="63"/>
      <c r="O30" s="63"/>
      <c r="P30" s="63"/>
      <c r="Q30" s="63"/>
      <c r="R30" s="63"/>
      <c r="S30" s="63"/>
      <c r="T30" s="63"/>
      <c r="U30" s="63"/>
      <c r="V30" s="63"/>
      <c r="W30" s="63"/>
      <c r="X30" s="63"/>
      <c r="Y30" s="63"/>
      <c r="Z30" s="63"/>
      <c r="AA30" s="63"/>
      <c r="AB30" s="63"/>
    </row>
    <row r="31" spans="1:30" x14ac:dyDescent="0.2">
      <c r="A31" s="65"/>
      <c r="B31" s="67"/>
      <c r="C31" s="48"/>
      <c r="D31" s="48"/>
      <c r="E31" s="48"/>
      <c r="F31" s="48"/>
      <c r="G31" s="48"/>
      <c r="H31" s="68"/>
      <c r="I31" s="68"/>
      <c r="J31" s="68"/>
      <c r="K31" s="68"/>
    </row>
    <row r="32" spans="1:30" x14ac:dyDescent="0.2">
      <c r="A32" s="64"/>
      <c r="B32" s="9"/>
      <c r="C32" s="9"/>
      <c r="D32" s="9"/>
      <c r="E32" s="9"/>
      <c r="F32" s="9"/>
      <c r="G32" s="9"/>
      <c r="H32" s="9"/>
      <c r="I32" s="9"/>
      <c r="J32" s="9"/>
      <c r="K32" s="9"/>
    </row>
    <row r="33" spans="1:12" x14ac:dyDescent="0.2">
      <c r="A33" s="65"/>
      <c r="B33" s="9"/>
      <c r="C33" s="9"/>
      <c r="D33" s="9"/>
      <c r="E33" s="9"/>
      <c r="F33" s="9"/>
      <c r="G33" s="9"/>
      <c r="H33" s="9"/>
      <c r="I33" s="9"/>
      <c r="J33" s="9"/>
      <c r="K33" s="9"/>
    </row>
    <row r="34" spans="1:12" x14ac:dyDescent="0.2">
      <c r="A34" s="65"/>
      <c r="B34" s="69"/>
      <c r="C34" s="9"/>
      <c r="D34" s="9"/>
      <c r="E34" s="9"/>
      <c r="F34" s="9"/>
      <c r="G34" s="9"/>
      <c r="H34" s="9"/>
      <c r="I34" s="9"/>
      <c r="J34" s="9"/>
      <c r="K34" s="9"/>
    </row>
    <row r="35" spans="1:12" x14ac:dyDescent="0.2">
      <c r="A35" s="64"/>
      <c r="B35" s="69"/>
      <c r="C35" s="9"/>
      <c r="D35" s="9"/>
      <c r="E35" s="9"/>
      <c r="F35" s="9"/>
      <c r="G35" s="9"/>
      <c r="H35" s="9"/>
      <c r="I35" s="9"/>
      <c r="J35" s="9"/>
      <c r="K35" s="9"/>
    </row>
    <row r="36" spans="1:12" x14ac:dyDescent="0.2">
      <c r="A36" s="65"/>
      <c r="B36" s="9"/>
      <c r="C36" s="9"/>
      <c r="D36" s="9"/>
      <c r="E36" s="9"/>
      <c r="F36" s="9"/>
      <c r="G36" s="9"/>
      <c r="H36" s="9"/>
      <c r="I36" s="9"/>
      <c r="J36" s="9"/>
      <c r="K36" s="9"/>
    </row>
    <row r="37" spans="1:12" x14ac:dyDescent="0.2">
      <c r="A37" s="65"/>
      <c r="B37" s="9"/>
      <c r="C37" s="9"/>
      <c r="D37" s="9"/>
      <c r="E37" s="9"/>
      <c r="F37" s="9"/>
      <c r="G37" s="9"/>
      <c r="H37" s="9"/>
      <c r="I37" s="9"/>
      <c r="J37" s="9"/>
      <c r="K37" s="9"/>
    </row>
    <row r="38" spans="1:12" x14ac:dyDescent="0.2">
      <c r="A38" s="64"/>
      <c r="B38" s="9"/>
      <c r="C38" s="9"/>
      <c r="D38" s="9"/>
      <c r="E38" s="9"/>
      <c r="F38" s="9"/>
      <c r="G38" s="9"/>
      <c r="H38" s="9"/>
      <c r="I38" s="9"/>
      <c r="J38" s="9"/>
      <c r="K38" s="9"/>
    </row>
    <row r="39" spans="1:12" x14ac:dyDescent="0.2">
      <c r="A39" s="65"/>
      <c r="B39" s="9"/>
      <c r="C39" s="9"/>
      <c r="D39" s="9"/>
      <c r="E39" s="9"/>
      <c r="F39" s="9"/>
      <c r="G39" s="9"/>
      <c r="H39" s="9"/>
      <c r="I39" s="9"/>
      <c r="J39" s="9"/>
      <c r="K39" s="9"/>
    </row>
    <row r="40" spans="1:12" x14ac:dyDescent="0.2">
      <c r="A40" s="44"/>
      <c r="B40" s="44"/>
      <c r="C40" s="16"/>
      <c r="D40" s="16"/>
      <c r="E40" s="16"/>
      <c r="F40" s="16"/>
      <c r="G40" s="16"/>
      <c r="H40" s="16"/>
      <c r="I40" s="16"/>
      <c r="J40" s="16"/>
      <c r="K40" s="16"/>
    </row>
    <row r="41" spans="1:12" x14ac:dyDescent="0.2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</row>
    <row r="42" spans="1:12" x14ac:dyDescent="0.2">
      <c r="A42" s="70"/>
      <c r="B42" s="70"/>
      <c r="C42" s="70"/>
      <c r="D42" s="48"/>
      <c r="E42" s="48"/>
      <c r="F42" s="48"/>
      <c r="G42" s="48"/>
      <c r="H42" s="48"/>
      <c r="I42" s="48"/>
      <c r="J42" s="48"/>
      <c r="K42" s="48"/>
      <c r="L42" s="48"/>
    </row>
    <row r="43" spans="1:12" ht="6.75" customHeight="1" x14ac:dyDescent="0.2">
      <c r="A43" s="48"/>
      <c r="B43" s="48"/>
      <c r="C43" s="48"/>
      <c r="D43" s="48"/>
      <c r="E43" s="48"/>
      <c r="F43" s="48"/>
      <c r="G43" s="48"/>
      <c r="H43" s="48"/>
      <c r="I43" s="48"/>
      <c r="J43" s="48"/>
      <c r="K43" s="48"/>
      <c r="L43" s="48"/>
    </row>
    <row r="44" spans="1:12" ht="5.25" customHeight="1" x14ac:dyDescent="0.2">
      <c r="A44" s="48"/>
      <c r="B44" s="48"/>
      <c r="C44" s="48"/>
      <c r="D44" s="48"/>
      <c r="E44" s="48"/>
      <c r="F44" s="48"/>
      <c r="G44" s="48"/>
      <c r="H44" s="48"/>
      <c r="I44" s="48"/>
      <c r="J44" s="48"/>
      <c r="K44" s="48"/>
      <c r="L44" s="48"/>
    </row>
    <row r="45" spans="1:12" x14ac:dyDescent="0.2">
      <c r="A45" s="68"/>
      <c r="B45" s="68"/>
      <c r="C45" s="68"/>
      <c r="D45" s="68"/>
      <c r="E45" s="68"/>
      <c r="F45" s="68"/>
      <c r="G45" s="68"/>
      <c r="H45" s="68"/>
      <c r="I45" s="68"/>
      <c r="J45" s="68"/>
      <c r="K45" s="68"/>
      <c r="L45" s="48"/>
    </row>
    <row r="46" spans="1:12" x14ac:dyDescent="0.2">
      <c r="A46" s="68"/>
      <c r="B46" s="68"/>
      <c r="C46" s="68"/>
      <c r="D46" s="68"/>
      <c r="E46" s="68"/>
      <c r="F46" s="68"/>
      <c r="G46" s="68"/>
      <c r="H46" s="68"/>
      <c r="I46" s="68"/>
      <c r="J46" s="68"/>
      <c r="K46" s="68"/>
      <c r="L46" s="48"/>
    </row>
    <row r="47" spans="1:12" x14ac:dyDescent="0.2">
      <c r="A47" s="68"/>
      <c r="B47" s="68"/>
      <c r="C47" s="48"/>
      <c r="D47" s="48"/>
      <c r="E47" s="48"/>
      <c r="F47" s="48"/>
      <c r="G47" s="48"/>
      <c r="H47" s="68"/>
      <c r="I47" s="68"/>
      <c r="J47" s="68"/>
      <c r="K47" s="68"/>
      <c r="L47" s="48"/>
    </row>
    <row r="48" spans="1:12" x14ac:dyDescent="0.2">
      <c r="A48" s="72"/>
      <c r="B48" s="48"/>
      <c r="C48" s="48"/>
      <c r="D48" s="48"/>
      <c r="E48" s="48"/>
      <c r="F48" s="48"/>
      <c r="G48" s="48"/>
      <c r="H48" s="48"/>
      <c r="I48" s="48"/>
      <c r="J48" s="48"/>
      <c r="K48" s="48"/>
      <c r="L48" s="48"/>
    </row>
    <row r="49" spans="1:12" x14ac:dyDescent="0.2">
      <c r="A49" s="73"/>
      <c r="B49" s="74"/>
      <c r="C49" s="48"/>
      <c r="D49" s="48"/>
      <c r="E49" s="48"/>
      <c r="F49" s="48"/>
      <c r="G49" s="48"/>
      <c r="H49" s="48"/>
      <c r="I49" s="48"/>
      <c r="J49" s="48"/>
      <c r="K49" s="48"/>
      <c r="L49" s="48"/>
    </row>
    <row r="50" spans="1:12" x14ac:dyDescent="0.2">
      <c r="A50" s="73"/>
      <c r="B50" s="74"/>
      <c r="C50" s="48"/>
      <c r="D50" s="48"/>
      <c r="E50" s="48"/>
      <c r="F50" s="48"/>
      <c r="G50" s="48"/>
      <c r="H50" s="48"/>
      <c r="I50" s="48"/>
      <c r="J50" s="48"/>
      <c r="K50" s="48"/>
      <c r="L50" s="48"/>
    </row>
    <row r="51" spans="1:12" x14ac:dyDescent="0.2">
      <c r="A51" s="72"/>
      <c r="B51" s="48"/>
      <c r="C51" s="48"/>
      <c r="D51" s="48"/>
      <c r="E51" s="48"/>
      <c r="F51" s="48"/>
      <c r="G51" s="48"/>
      <c r="H51" s="48"/>
      <c r="I51" s="48"/>
      <c r="J51" s="48"/>
      <c r="K51" s="48"/>
      <c r="L51" s="48"/>
    </row>
    <row r="52" spans="1:12" x14ac:dyDescent="0.2">
      <c r="A52" s="72"/>
      <c r="B52" s="48"/>
      <c r="C52" s="48"/>
      <c r="D52" s="48"/>
      <c r="E52" s="48"/>
      <c r="F52" s="48"/>
      <c r="G52" s="48"/>
      <c r="H52" s="48"/>
      <c r="I52" s="48"/>
      <c r="J52" s="48"/>
      <c r="K52" s="48"/>
      <c r="L52" s="48"/>
    </row>
    <row r="53" spans="1:12" x14ac:dyDescent="0.2">
      <c r="A53" s="73"/>
      <c r="B53" s="74"/>
      <c r="C53" s="48"/>
      <c r="D53" s="48"/>
      <c r="E53" s="48"/>
      <c r="F53" s="48"/>
      <c r="G53" s="48"/>
      <c r="H53" s="48"/>
      <c r="I53" s="48"/>
      <c r="J53" s="48"/>
      <c r="K53" s="48"/>
      <c r="L53" s="48"/>
    </row>
    <row r="54" spans="1:12" x14ac:dyDescent="0.2">
      <c r="A54" s="73"/>
      <c r="B54" s="74"/>
      <c r="C54" s="48"/>
      <c r="D54" s="48"/>
      <c r="E54" s="48"/>
      <c r="F54" s="48"/>
      <c r="G54" s="48"/>
      <c r="H54" s="48"/>
      <c r="I54" s="48"/>
      <c r="J54" s="48"/>
      <c r="K54" s="48"/>
      <c r="L54" s="48"/>
    </row>
    <row r="55" spans="1:12" x14ac:dyDescent="0.2">
      <c r="A55" s="72"/>
      <c r="B55" s="48"/>
      <c r="C55" s="48"/>
      <c r="D55" s="48"/>
      <c r="E55" s="48"/>
      <c r="F55" s="48"/>
      <c r="G55" s="48"/>
      <c r="H55" s="48"/>
      <c r="I55" s="48"/>
      <c r="J55" s="48"/>
      <c r="K55" s="48"/>
      <c r="L55" s="48"/>
    </row>
    <row r="56" spans="1:12" x14ac:dyDescent="0.2">
      <c r="A56" s="72"/>
      <c r="B56" s="48"/>
      <c r="C56" s="48"/>
      <c r="D56" s="48"/>
      <c r="E56" s="48"/>
      <c r="F56" s="48"/>
      <c r="G56" s="48"/>
      <c r="H56" s="48"/>
      <c r="I56" s="48"/>
      <c r="J56" s="48"/>
      <c r="K56" s="48"/>
      <c r="L56" s="48"/>
    </row>
    <row r="57" spans="1:12" x14ac:dyDescent="0.2">
      <c r="A57" s="73"/>
      <c r="B57" s="48"/>
      <c r="C57" s="48"/>
      <c r="D57" s="48"/>
      <c r="E57" s="48"/>
      <c r="F57" s="48"/>
      <c r="G57" s="48"/>
      <c r="H57" s="48"/>
      <c r="I57" s="48"/>
      <c r="J57" s="48"/>
      <c r="K57" s="48"/>
      <c r="L57" s="48"/>
    </row>
    <row r="58" spans="1:12" x14ac:dyDescent="0.2">
      <c r="A58" s="73"/>
      <c r="B58" s="48"/>
      <c r="C58" s="48"/>
      <c r="D58" s="48"/>
      <c r="E58" s="48"/>
      <c r="F58" s="48"/>
      <c r="G58" s="48"/>
      <c r="H58" s="48"/>
      <c r="I58" s="48"/>
      <c r="J58" s="48"/>
      <c r="K58" s="48"/>
      <c r="L58" s="48"/>
    </row>
    <row r="59" spans="1:12" x14ac:dyDescent="0.2">
      <c r="A59" s="72"/>
      <c r="B59" s="48"/>
      <c r="C59" s="48"/>
      <c r="D59" s="48"/>
      <c r="E59" s="48"/>
      <c r="F59" s="48"/>
      <c r="G59" s="48"/>
      <c r="H59" s="48"/>
      <c r="I59" s="48"/>
      <c r="J59" s="48"/>
      <c r="K59" s="48"/>
      <c r="L59" s="48"/>
    </row>
    <row r="60" spans="1:12" x14ac:dyDescent="0.2">
      <c r="A60" s="72"/>
      <c r="B60" s="48"/>
      <c r="C60" s="48"/>
      <c r="D60" s="48"/>
      <c r="E60" s="48"/>
      <c r="F60" s="48"/>
      <c r="G60" s="48"/>
      <c r="H60" s="48"/>
      <c r="I60" s="48"/>
      <c r="J60" s="48"/>
      <c r="K60" s="48"/>
      <c r="L60" s="48"/>
    </row>
    <row r="61" spans="1:12" x14ac:dyDescent="0.2">
      <c r="A61" s="73"/>
      <c r="B61" s="48"/>
      <c r="C61" s="48"/>
      <c r="D61" s="48"/>
      <c r="E61" s="48"/>
      <c r="F61" s="48"/>
      <c r="G61" s="48"/>
      <c r="H61" s="48"/>
      <c r="I61" s="48"/>
      <c r="J61" s="48"/>
      <c r="K61" s="48"/>
      <c r="L61" s="48"/>
    </row>
    <row r="62" spans="1:12" x14ac:dyDescent="0.2">
      <c r="A62" s="73"/>
      <c r="B62" s="48"/>
      <c r="C62" s="48"/>
      <c r="D62" s="48"/>
      <c r="E62" s="48"/>
      <c r="F62" s="48"/>
      <c r="G62" s="48"/>
      <c r="H62" s="48"/>
      <c r="I62" s="48"/>
      <c r="J62" s="48"/>
      <c r="K62" s="48"/>
      <c r="L62" s="48"/>
    </row>
    <row r="63" spans="1:12" x14ac:dyDescent="0.2">
      <c r="A63" s="75"/>
      <c r="B63" s="75"/>
      <c r="C63" s="45"/>
      <c r="D63" s="45"/>
      <c r="E63" s="45"/>
      <c r="F63" s="45"/>
      <c r="G63" s="45"/>
      <c r="H63" s="45"/>
      <c r="I63" s="45"/>
      <c r="J63" s="45"/>
      <c r="K63" s="45"/>
      <c r="L63" s="48"/>
    </row>
    <row r="64" spans="1:12" ht="6.75" customHeight="1" x14ac:dyDescent="0.2">
      <c r="A64" s="48"/>
      <c r="B64" s="48"/>
      <c r="C64" s="48"/>
      <c r="D64" s="48"/>
      <c r="E64" s="48"/>
      <c r="F64" s="48"/>
      <c r="G64" s="48"/>
      <c r="H64" s="48"/>
      <c r="I64" s="48"/>
      <c r="J64" s="48"/>
      <c r="K64" s="48"/>
      <c r="L64" s="48"/>
    </row>
    <row r="65" spans="1:12" x14ac:dyDescent="0.2">
      <c r="A65" s="70"/>
      <c r="B65" s="70"/>
      <c r="C65" s="70"/>
      <c r="D65" s="48"/>
      <c r="E65" s="48"/>
      <c r="F65" s="48"/>
      <c r="G65" s="48"/>
      <c r="H65" s="48"/>
      <c r="I65" s="48"/>
      <c r="J65" s="48"/>
      <c r="K65" s="48"/>
      <c r="L65" s="48"/>
    </row>
    <row r="66" spans="1:12" x14ac:dyDescent="0.2">
      <c r="A66" s="48"/>
      <c r="B66" s="48"/>
      <c r="C66" s="48"/>
      <c r="D66" s="48"/>
      <c r="E66" s="48"/>
      <c r="F66" s="48"/>
      <c r="G66" s="48"/>
      <c r="H66" s="48"/>
      <c r="I66" s="48"/>
      <c r="J66" s="48"/>
      <c r="K66" s="48"/>
      <c r="L66" s="48"/>
    </row>
    <row r="67" spans="1:12" x14ac:dyDescent="0.2">
      <c r="A67" s="68"/>
      <c r="B67" s="68"/>
      <c r="C67" s="68"/>
      <c r="D67" s="68"/>
      <c r="E67" s="68"/>
      <c r="F67" s="68"/>
      <c r="G67" s="68"/>
      <c r="H67" s="68"/>
      <c r="I67" s="68"/>
      <c r="J67" s="68"/>
      <c r="K67" s="68"/>
      <c r="L67" s="48"/>
    </row>
    <row r="68" spans="1:12" x14ac:dyDescent="0.2">
      <c r="A68" s="68"/>
      <c r="B68" s="68"/>
      <c r="C68" s="68"/>
      <c r="D68" s="68"/>
      <c r="E68" s="68"/>
      <c r="F68" s="68"/>
      <c r="G68" s="68"/>
      <c r="H68" s="68"/>
      <c r="I68" s="68"/>
      <c r="J68" s="68"/>
      <c r="K68" s="68"/>
      <c r="L68" s="48"/>
    </row>
    <row r="69" spans="1:12" x14ac:dyDescent="0.2">
      <c r="A69" s="68"/>
      <c r="B69" s="68"/>
      <c r="C69" s="48"/>
      <c r="D69" s="48"/>
      <c r="E69" s="48"/>
      <c r="F69" s="48"/>
      <c r="G69" s="48"/>
      <c r="H69" s="68"/>
      <c r="I69" s="68"/>
      <c r="J69" s="68"/>
      <c r="K69" s="68"/>
      <c r="L69" s="48"/>
    </row>
    <row r="70" spans="1:12" x14ac:dyDescent="0.2">
      <c r="A70" s="72"/>
      <c r="B70" s="48"/>
      <c r="C70" s="48"/>
      <c r="D70" s="48"/>
      <c r="E70" s="48"/>
      <c r="F70" s="48"/>
      <c r="G70" s="48"/>
      <c r="H70" s="48"/>
      <c r="I70" s="48"/>
      <c r="J70" s="48"/>
      <c r="K70" s="48"/>
      <c r="L70" s="48"/>
    </row>
    <row r="71" spans="1:12" x14ac:dyDescent="0.2">
      <c r="A71" s="73"/>
      <c r="B71" s="74"/>
      <c r="C71" s="48"/>
      <c r="D71" s="48"/>
      <c r="E71" s="48"/>
      <c r="F71" s="48"/>
      <c r="G71" s="48"/>
      <c r="H71" s="48"/>
      <c r="I71" s="48"/>
      <c r="J71" s="48"/>
      <c r="K71" s="48"/>
      <c r="L71" s="48"/>
    </row>
    <row r="72" spans="1:12" x14ac:dyDescent="0.2">
      <c r="A72" s="73"/>
      <c r="B72" s="74"/>
      <c r="C72" s="48"/>
      <c r="D72" s="48"/>
      <c r="E72" s="48"/>
      <c r="F72" s="48"/>
      <c r="G72" s="48"/>
      <c r="H72" s="48"/>
      <c r="I72" s="48"/>
      <c r="J72" s="48"/>
      <c r="K72" s="48"/>
      <c r="L72" s="48"/>
    </row>
    <row r="73" spans="1:12" x14ac:dyDescent="0.2">
      <c r="A73" s="72"/>
      <c r="B73" s="48"/>
      <c r="C73" s="48"/>
      <c r="D73" s="48"/>
      <c r="E73" s="48"/>
      <c r="F73" s="48"/>
      <c r="G73" s="48"/>
      <c r="H73" s="48"/>
      <c r="I73" s="48"/>
      <c r="J73" s="48"/>
      <c r="K73" s="48"/>
      <c r="L73" s="48"/>
    </row>
    <row r="74" spans="1:12" x14ac:dyDescent="0.2">
      <c r="A74" s="72"/>
      <c r="B74" s="48"/>
      <c r="C74" s="48"/>
      <c r="D74" s="48"/>
      <c r="E74" s="48"/>
      <c r="F74" s="48"/>
      <c r="G74" s="48"/>
      <c r="H74" s="48"/>
      <c r="I74" s="48"/>
      <c r="J74" s="48"/>
      <c r="K74" s="48"/>
      <c r="L74" s="48"/>
    </row>
    <row r="75" spans="1:12" x14ac:dyDescent="0.2">
      <c r="A75" s="73"/>
      <c r="B75" s="74"/>
      <c r="C75" s="48"/>
      <c r="D75" s="48"/>
      <c r="E75" s="48"/>
      <c r="F75" s="48"/>
      <c r="G75" s="48"/>
      <c r="H75" s="48"/>
      <c r="I75" s="48"/>
      <c r="J75" s="48"/>
      <c r="K75" s="48"/>
      <c r="L75" s="48"/>
    </row>
    <row r="76" spans="1:12" x14ac:dyDescent="0.2">
      <c r="A76" s="73"/>
      <c r="B76" s="74"/>
      <c r="C76" s="48"/>
      <c r="D76" s="48"/>
      <c r="E76" s="48"/>
      <c r="F76" s="48"/>
      <c r="G76" s="48"/>
      <c r="H76" s="48"/>
      <c r="I76" s="48"/>
      <c r="J76" s="48"/>
      <c r="K76" s="48"/>
      <c r="L76" s="48"/>
    </row>
    <row r="77" spans="1:12" x14ac:dyDescent="0.2">
      <c r="A77" s="72"/>
      <c r="B77" s="48"/>
      <c r="C77" s="48"/>
      <c r="D77" s="48"/>
      <c r="E77" s="48"/>
      <c r="F77" s="48"/>
      <c r="G77" s="48"/>
      <c r="H77" s="48"/>
      <c r="I77" s="48"/>
      <c r="J77" s="48"/>
      <c r="K77" s="48"/>
      <c r="L77" s="48"/>
    </row>
    <row r="78" spans="1:12" x14ac:dyDescent="0.2">
      <c r="A78" s="72"/>
      <c r="B78" s="48"/>
      <c r="C78" s="48"/>
      <c r="D78" s="48"/>
      <c r="E78" s="48"/>
      <c r="F78" s="48"/>
      <c r="G78" s="48"/>
      <c r="H78" s="48"/>
      <c r="I78" s="48"/>
      <c r="J78" s="48"/>
      <c r="K78" s="48"/>
      <c r="L78" s="48"/>
    </row>
    <row r="79" spans="1:12" x14ac:dyDescent="0.2">
      <c r="A79" s="73"/>
      <c r="B79" s="48"/>
      <c r="C79" s="48"/>
      <c r="D79" s="48"/>
      <c r="E79" s="48"/>
      <c r="F79" s="48"/>
      <c r="G79" s="48"/>
      <c r="H79" s="48"/>
      <c r="I79" s="48"/>
      <c r="J79" s="48"/>
      <c r="K79" s="48"/>
      <c r="L79" s="48"/>
    </row>
    <row r="80" spans="1:12" x14ac:dyDescent="0.2">
      <c r="A80" s="73"/>
      <c r="B80" s="48"/>
      <c r="C80" s="48"/>
      <c r="D80" s="48"/>
      <c r="E80" s="48"/>
      <c r="F80" s="48"/>
      <c r="G80" s="48"/>
      <c r="H80" s="48"/>
      <c r="I80" s="48"/>
      <c r="J80" s="48"/>
      <c r="K80" s="48"/>
      <c r="L80" s="48"/>
    </row>
    <row r="81" spans="1:12" x14ac:dyDescent="0.2">
      <c r="A81" s="72"/>
      <c r="B81" s="48"/>
      <c r="C81" s="48"/>
      <c r="D81" s="48"/>
      <c r="E81" s="48"/>
      <c r="F81" s="48"/>
      <c r="G81" s="48"/>
      <c r="H81" s="48"/>
      <c r="I81" s="48"/>
      <c r="J81" s="48"/>
      <c r="K81" s="48"/>
      <c r="L81" s="48"/>
    </row>
    <row r="82" spans="1:12" x14ac:dyDescent="0.2">
      <c r="A82" s="72"/>
      <c r="B82" s="48"/>
      <c r="C82" s="48"/>
      <c r="D82" s="48"/>
      <c r="E82" s="48"/>
      <c r="F82" s="48"/>
      <c r="G82" s="48"/>
      <c r="H82" s="48"/>
      <c r="I82" s="48"/>
      <c r="J82" s="48"/>
      <c r="K82" s="48"/>
      <c r="L82" s="48"/>
    </row>
    <row r="83" spans="1:12" x14ac:dyDescent="0.2">
      <c r="A83" s="73"/>
      <c r="B83" s="48"/>
      <c r="C83" s="48"/>
      <c r="D83" s="48"/>
      <c r="E83" s="48"/>
      <c r="F83" s="48"/>
      <c r="G83" s="48"/>
      <c r="H83" s="48"/>
      <c r="I83" s="48"/>
      <c r="J83" s="48"/>
      <c r="K83" s="48"/>
      <c r="L83" s="48"/>
    </row>
    <row r="84" spans="1:12" x14ac:dyDescent="0.2">
      <c r="A84" s="73"/>
      <c r="B84" s="48"/>
      <c r="C84" s="48"/>
      <c r="D84" s="48"/>
      <c r="E84" s="48"/>
      <c r="F84" s="48"/>
      <c r="G84" s="48"/>
      <c r="H84" s="48"/>
      <c r="I84" s="48"/>
      <c r="J84" s="48"/>
      <c r="K84" s="48"/>
      <c r="L84" s="48"/>
    </row>
    <row r="85" spans="1:12" x14ac:dyDescent="0.2">
      <c r="A85" s="75"/>
      <c r="B85" s="75"/>
      <c r="C85" s="45"/>
      <c r="D85" s="45"/>
      <c r="E85" s="45"/>
      <c r="F85" s="45"/>
      <c r="G85" s="45"/>
      <c r="H85" s="45"/>
      <c r="I85" s="45"/>
      <c r="J85" s="45"/>
      <c r="K85" s="45"/>
      <c r="L85" s="48"/>
    </row>
    <row r="86" spans="1:12" x14ac:dyDescent="0.2">
      <c r="A86" s="48"/>
      <c r="B86" s="48"/>
      <c r="C86" s="48"/>
      <c r="D86" s="48"/>
      <c r="E86" s="48"/>
      <c r="F86" s="48"/>
      <c r="G86" s="48"/>
      <c r="H86" s="48"/>
      <c r="I86" s="48"/>
      <c r="J86" s="48"/>
      <c r="K86" s="48"/>
      <c r="L86" s="48"/>
    </row>
    <row r="87" spans="1:12" x14ac:dyDescent="0.2">
      <c r="A87" s="70"/>
      <c r="B87" s="70"/>
      <c r="C87" s="70"/>
      <c r="D87" s="48"/>
      <c r="E87" s="48"/>
      <c r="F87" s="48"/>
      <c r="G87" s="48"/>
      <c r="H87" s="48"/>
      <c r="I87" s="48"/>
      <c r="J87" s="48"/>
      <c r="K87" s="48"/>
      <c r="L87" s="48"/>
    </row>
    <row r="88" spans="1:12" x14ac:dyDescent="0.2">
      <c r="A88" s="48"/>
      <c r="B88" s="48"/>
      <c r="C88" s="48"/>
      <c r="D88" s="48"/>
      <c r="E88" s="48"/>
      <c r="F88" s="48"/>
      <c r="G88" s="48"/>
      <c r="H88" s="48"/>
      <c r="I88" s="48"/>
      <c r="J88" s="48"/>
      <c r="K88" s="48"/>
      <c r="L88" s="48"/>
    </row>
    <row r="89" spans="1:12" x14ac:dyDescent="0.2">
      <c r="A89" s="48"/>
      <c r="B89" s="48"/>
      <c r="C89" s="48"/>
      <c r="D89" s="48"/>
      <c r="E89" s="48"/>
      <c r="F89" s="48"/>
      <c r="G89" s="48"/>
      <c r="H89" s="48"/>
      <c r="I89" s="48"/>
      <c r="J89" s="48"/>
      <c r="K89" s="48"/>
      <c r="L89" s="48"/>
    </row>
    <row r="90" spans="1:12" x14ac:dyDescent="0.2">
      <c r="A90" s="48"/>
      <c r="B90" s="48"/>
      <c r="C90" s="48"/>
      <c r="D90" s="48"/>
      <c r="E90" s="48"/>
      <c r="F90" s="48"/>
      <c r="G90" s="48"/>
      <c r="H90" s="48"/>
      <c r="I90" s="48"/>
      <c r="J90" s="48"/>
      <c r="K90" s="48"/>
      <c r="L90" s="48"/>
    </row>
    <row r="91" spans="1:12" x14ac:dyDescent="0.2">
      <c r="A91" s="68"/>
      <c r="B91" s="68"/>
      <c r="C91" s="68"/>
      <c r="D91" s="68"/>
      <c r="E91" s="68"/>
      <c r="F91" s="68"/>
      <c r="G91" s="68"/>
      <c r="H91" s="68"/>
      <c r="I91" s="68"/>
      <c r="J91" s="68"/>
      <c r="K91" s="68"/>
      <c r="L91" s="48"/>
    </row>
    <row r="92" spans="1:12" x14ac:dyDescent="0.2">
      <c r="A92" s="68"/>
      <c r="B92" s="68"/>
      <c r="C92" s="68"/>
      <c r="D92" s="68"/>
      <c r="E92" s="68"/>
      <c r="F92" s="68"/>
      <c r="G92" s="68"/>
      <c r="H92" s="68"/>
      <c r="I92" s="68"/>
      <c r="J92" s="68"/>
      <c r="K92" s="68"/>
      <c r="L92" s="48"/>
    </row>
    <row r="93" spans="1:12" x14ac:dyDescent="0.2">
      <c r="A93" s="68"/>
      <c r="B93" s="68"/>
      <c r="C93" s="68"/>
      <c r="D93" s="68"/>
      <c r="E93" s="68"/>
      <c r="F93" s="68"/>
      <c r="G93" s="68"/>
      <c r="H93" s="68"/>
      <c r="I93" s="68"/>
      <c r="J93" s="68"/>
      <c r="K93" s="68"/>
      <c r="L93" s="48"/>
    </row>
    <row r="94" spans="1:12" x14ac:dyDescent="0.2">
      <c r="A94" s="72"/>
      <c r="B94" s="48"/>
      <c r="C94" s="48"/>
      <c r="D94" s="48"/>
      <c r="E94" s="48"/>
      <c r="F94" s="48"/>
      <c r="G94" s="48"/>
      <c r="H94" s="48"/>
      <c r="I94" s="48"/>
      <c r="J94" s="48"/>
      <c r="K94" s="48"/>
      <c r="L94" s="48"/>
    </row>
    <row r="95" spans="1:12" x14ac:dyDescent="0.2">
      <c r="A95" s="73"/>
      <c r="B95" s="74"/>
      <c r="C95" s="48"/>
      <c r="D95" s="48"/>
      <c r="E95" s="48"/>
      <c r="F95" s="48"/>
      <c r="G95" s="48"/>
      <c r="H95" s="48"/>
      <c r="I95" s="48"/>
      <c r="J95" s="48"/>
      <c r="K95" s="48"/>
      <c r="L95" s="48"/>
    </row>
    <row r="96" spans="1:12" x14ac:dyDescent="0.2">
      <c r="A96" s="73"/>
      <c r="B96" s="74"/>
      <c r="C96" s="48"/>
      <c r="D96" s="48"/>
      <c r="E96" s="48"/>
      <c r="F96" s="48"/>
      <c r="G96" s="48"/>
      <c r="H96" s="48"/>
      <c r="I96" s="48"/>
      <c r="J96" s="48"/>
      <c r="K96" s="48"/>
      <c r="L96" s="48"/>
    </row>
    <row r="97" spans="1:12" x14ac:dyDescent="0.2">
      <c r="A97" s="72"/>
      <c r="B97" s="48"/>
      <c r="C97" s="48"/>
      <c r="D97" s="48"/>
      <c r="E97" s="48"/>
      <c r="F97" s="48"/>
      <c r="G97" s="48"/>
      <c r="H97" s="48"/>
      <c r="I97" s="48"/>
      <c r="J97" s="48"/>
      <c r="K97" s="48"/>
      <c r="L97" s="48"/>
    </row>
    <row r="98" spans="1:12" x14ac:dyDescent="0.2">
      <c r="A98" s="72"/>
      <c r="B98" s="48"/>
      <c r="C98" s="48"/>
      <c r="D98" s="48"/>
      <c r="E98" s="48"/>
      <c r="F98" s="48"/>
      <c r="G98" s="48"/>
      <c r="H98" s="48"/>
      <c r="I98" s="48"/>
      <c r="J98" s="48"/>
      <c r="K98" s="48"/>
      <c r="L98" s="48"/>
    </row>
    <row r="99" spans="1:12" x14ac:dyDescent="0.2">
      <c r="A99" s="73"/>
      <c r="B99" s="74"/>
      <c r="C99" s="48"/>
      <c r="D99" s="48"/>
      <c r="E99" s="48"/>
      <c r="F99" s="48"/>
      <c r="G99" s="48"/>
      <c r="H99" s="48"/>
      <c r="I99" s="48"/>
      <c r="J99" s="48"/>
      <c r="K99" s="48"/>
      <c r="L99" s="48"/>
    </row>
    <row r="100" spans="1:12" x14ac:dyDescent="0.2">
      <c r="A100" s="73"/>
      <c r="B100" s="74"/>
      <c r="C100" s="48"/>
      <c r="D100" s="48"/>
      <c r="E100" s="48"/>
      <c r="F100" s="48"/>
      <c r="G100" s="48"/>
      <c r="H100" s="48"/>
      <c r="I100" s="48"/>
      <c r="J100" s="48"/>
      <c r="K100" s="48"/>
      <c r="L100" s="48"/>
    </row>
    <row r="101" spans="1:12" x14ac:dyDescent="0.2">
      <c r="A101" s="72"/>
      <c r="B101" s="48"/>
      <c r="C101" s="48"/>
      <c r="D101" s="48"/>
      <c r="E101" s="48"/>
      <c r="F101" s="48"/>
      <c r="G101" s="48"/>
      <c r="H101" s="48"/>
      <c r="I101" s="48"/>
      <c r="J101" s="48"/>
      <c r="K101" s="48"/>
      <c r="L101" s="48"/>
    </row>
    <row r="102" spans="1:12" x14ac:dyDescent="0.2">
      <c r="A102" s="72"/>
      <c r="B102" s="48"/>
      <c r="C102" s="48"/>
      <c r="D102" s="48"/>
      <c r="E102" s="48"/>
      <c r="F102" s="48"/>
      <c r="G102" s="48"/>
      <c r="H102" s="48"/>
      <c r="I102" s="48"/>
      <c r="J102" s="48"/>
      <c r="K102" s="48"/>
      <c r="L102" s="48"/>
    </row>
    <row r="103" spans="1:12" x14ac:dyDescent="0.2">
      <c r="A103" s="73"/>
      <c r="B103" s="48"/>
      <c r="C103" s="48"/>
      <c r="D103" s="48"/>
      <c r="E103" s="48"/>
      <c r="F103" s="48"/>
      <c r="G103" s="48"/>
      <c r="H103" s="48"/>
      <c r="I103" s="48"/>
      <c r="J103" s="48"/>
      <c r="K103" s="48"/>
      <c r="L103" s="48"/>
    </row>
    <row r="104" spans="1:12" x14ac:dyDescent="0.2">
      <c r="A104" s="73"/>
      <c r="B104" s="48"/>
      <c r="C104" s="48"/>
      <c r="D104" s="48"/>
      <c r="E104" s="48"/>
      <c r="F104" s="48"/>
      <c r="G104" s="48"/>
      <c r="H104" s="48"/>
      <c r="I104" s="48"/>
      <c r="J104" s="48"/>
      <c r="K104" s="48"/>
      <c r="L104" s="48"/>
    </row>
    <row r="105" spans="1:12" x14ac:dyDescent="0.2">
      <c r="A105" s="72"/>
      <c r="B105" s="48"/>
      <c r="C105" s="48"/>
      <c r="D105" s="48"/>
      <c r="E105" s="48"/>
      <c r="F105" s="48"/>
      <c r="G105" s="48"/>
      <c r="H105" s="48"/>
      <c r="I105" s="48"/>
      <c r="J105" s="48"/>
      <c r="K105" s="48"/>
      <c r="L105" s="48"/>
    </row>
    <row r="106" spans="1:12" x14ac:dyDescent="0.2">
      <c r="A106" s="72"/>
      <c r="B106" s="48"/>
      <c r="C106" s="48"/>
      <c r="D106" s="48"/>
      <c r="E106" s="48"/>
      <c r="F106" s="48"/>
      <c r="G106" s="48"/>
      <c r="H106" s="48"/>
      <c r="I106" s="48"/>
      <c r="J106" s="48"/>
      <c r="K106" s="48"/>
      <c r="L106" s="48"/>
    </row>
    <row r="107" spans="1:12" x14ac:dyDescent="0.2">
      <c r="A107" s="73"/>
      <c r="B107" s="48"/>
      <c r="C107" s="48"/>
      <c r="D107" s="48"/>
      <c r="E107" s="48"/>
      <c r="F107" s="48"/>
      <c r="G107" s="48"/>
      <c r="H107" s="48"/>
      <c r="I107" s="48"/>
      <c r="J107" s="48"/>
      <c r="K107" s="48"/>
      <c r="L107" s="48"/>
    </row>
    <row r="108" spans="1:12" x14ac:dyDescent="0.2">
      <c r="A108" s="73"/>
      <c r="B108" s="48"/>
      <c r="C108" s="48"/>
      <c r="D108" s="48"/>
      <c r="E108" s="48"/>
      <c r="F108" s="48"/>
      <c r="G108" s="48"/>
      <c r="H108" s="48"/>
      <c r="I108" s="48"/>
      <c r="J108" s="48"/>
      <c r="K108" s="48"/>
      <c r="L108" s="48"/>
    </row>
    <row r="109" spans="1:12" x14ac:dyDescent="0.2">
      <c r="A109" s="75"/>
      <c r="B109" s="75"/>
      <c r="C109" s="45"/>
      <c r="D109" s="45"/>
      <c r="E109" s="45"/>
      <c r="F109" s="45"/>
      <c r="G109" s="45"/>
      <c r="H109" s="45"/>
      <c r="I109" s="45"/>
      <c r="J109" s="45"/>
      <c r="K109" s="45"/>
      <c r="L109" s="48"/>
    </row>
    <row r="110" spans="1:12" x14ac:dyDescent="0.2">
      <c r="A110" s="48"/>
      <c r="B110" s="48"/>
      <c r="C110" s="48"/>
      <c r="D110" s="48"/>
      <c r="E110" s="48"/>
      <c r="F110" s="48"/>
      <c r="G110" s="48"/>
      <c r="H110" s="48"/>
      <c r="I110" s="48"/>
      <c r="J110" s="48"/>
      <c r="K110" s="48"/>
      <c r="L110" s="48"/>
    </row>
    <row r="111" spans="1:12" x14ac:dyDescent="0.2">
      <c r="A111" s="70"/>
      <c r="B111" s="70"/>
      <c r="C111" s="70"/>
      <c r="D111" s="48"/>
      <c r="E111" s="48"/>
      <c r="F111" s="48"/>
      <c r="G111" s="48"/>
      <c r="H111" s="48"/>
      <c r="I111" s="48"/>
      <c r="J111" s="48"/>
      <c r="K111" s="48"/>
      <c r="L111" s="48"/>
    </row>
    <row r="112" spans="1:12" x14ac:dyDescent="0.2">
      <c r="A112" s="48"/>
      <c r="B112" s="48"/>
      <c r="C112" s="48"/>
      <c r="D112" s="48"/>
      <c r="E112" s="48"/>
      <c r="F112" s="48"/>
      <c r="G112" s="48"/>
      <c r="H112" s="48"/>
      <c r="I112" s="48"/>
      <c r="J112" s="48"/>
      <c r="K112" s="48"/>
      <c r="L112" s="48"/>
    </row>
    <row r="113" spans="1:12" x14ac:dyDescent="0.2">
      <c r="A113" s="68"/>
      <c r="B113" s="68"/>
      <c r="C113" s="68"/>
      <c r="D113" s="68"/>
      <c r="E113" s="68"/>
      <c r="F113" s="68"/>
      <c r="G113" s="68"/>
      <c r="H113" s="68"/>
      <c r="I113" s="68"/>
      <c r="J113" s="68"/>
      <c r="K113" s="68"/>
      <c r="L113" s="48"/>
    </row>
    <row r="114" spans="1:12" x14ac:dyDescent="0.2">
      <c r="A114" s="68"/>
      <c r="B114" s="68"/>
      <c r="C114" s="68"/>
      <c r="D114" s="68"/>
      <c r="E114" s="68"/>
      <c r="F114" s="68"/>
      <c r="G114" s="68"/>
      <c r="H114" s="68"/>
      <c r="I114" s="68"/>
      <c r="J114" s="68"/>
      <c r="K114" s="68"/>
      <c r="L114" s="48"/>
    </row>
    <row r="115" spans="1:12" x14ac:dyDescent="0.2">
      <c r="A115" s="68"/>
      <c r="B115" s="68"/>
      <c r="C115" s="48"/>
      <c r="D115" s="48"/>
      <c r="E115" s="48"/>
      <c r="F115" s="48"/>
      <c r="G115" s="48"/>
      <c r="H115" s="68"/>
      <c r="I115" s="68"/>
      <c r="J115" s="68"/>
      <c r="K115" s="68"/>
      <c r="L115" s="48"/>
    </row>
    <row r="116" spans="1:12" x14ac:dyDescent="0.2">
      <c r="A116" s="72"/>
      <c r="B116" s="48"/>
      <c r="C116" s="48"/>
      <c r="D116" s="48"/>
      <c r="E116" s="48"/>
      <c r="F116" s="48"/>
      <c r="G116" s="48"/>
      <c r="H116" s="48"/>
      <c r="I116" s="48"/>
      <c r="J116" s="48"/>
      <c r="K116" s="48"/>
      <c r="L116" s="48"/>
    </row>
    <row r="117" spans="1:12" x14ac:dyDescent="0.2">
      <c r="A117" s="73"/>
      <c r="B117" s="74"/>
      <c r="C117" s="48"/>
      <c r="D117" s="48"/>
      <c r="E117" s="48"/>
      <c r="F117" s="48"/>
      <c r="G117" s="48"/>
      <c r="H117" s="48"/>
      <c r="I117" s="48"/>
      <c r="J117" s="48"/>
      <c r="K117" s="48"/>
      <c r="L117" s="48"/>
    </row>
    <row r="118" spans="1:12" x14ac:dyDescent="0.2">
      <c r="A118" s="73"/>
      <c r="B118" s="74"/>
      <c r="C118" s="48"/>
      <c r="D118" s="48"/>
      <c r="E118" s="48"/>
      <c r="F118" s="48"/>
      <c r="G118" s="48"/>
      <c r="H118" s="48"/>
      <c r="I118" s="48"/>
      <c r="J118" s="48"/>
      <c r="K118" s="48"/>
      <c r="L118" s="48"/>
    </row>
    <row r="119" spans="1:12" x14ac:dyDescent="0.2">
      <c r="A119" s="72"/>
      <c r="B119" s="48"/>
      <c r="C119" s="48"/>
      <c r="D119" s="48"/>
      <c r="E119" s="48"/>
      <c r="F119" s="48"/>
      <c r="G119" s="48"/>
      <c r="H119" s="48"/>
      <c r="I119" s="48"/>
      <c r="J119" s="48"/>
      <c r="K119" s="48"/>
      <c r="L119" s="48"/>
    </row>
    <row r="120" spans="1:12" x14ac:dyDescent="0.2">
      <c r="A120" s="73"/>
      <c r="B120" s="48"/>
      <c r="C120" s="48"/>
      <c r="D120" s="48"/>
      <c r="E120" s="48"/>
      <c r="F120" s="48"/>
      <c r="G120" s="48"/>
      <c r="H120" s="48"/>
      <c r="I120" s="48"/>
      <c r="J120" s="48"/>
      <c r="K120" s="48"/>
      <c r="L120" s="48"/>
    </row>
    <row r="121" spans="1:12" x14ac:dyDescent="0.2">
      <c r="A121" s="73"/>
      <c r="B121" s="74"/>
      <c r="C121" s="48"/>
      <c r="D121" s="48"/>
      <c r="E121" s="48"/>
      <c r="F121" s="48"/>
      <c r="G121" s="48"/>
      <c r="H121" s="48"/>
      <c r="I121" s="48"/>
      <c r="J121" s="48"/>
      <c r="K121" s="48"/>
      <c r="L121" s="48"/>
    </row>
    <row r="122" spans="1:12" x14ac:dyDescent="0.2">
      <c r="A122" s="72"/>
      <c r="B122" s="74"/>
      <c r="C122" s="48"/>
      <c r="D122" s="48"/>
      <c r="E122" s="48"/>
      <c r="F122" s="48"/>
      <c r="G122" s="48"/>
      <c r="H122" s="48"/>
      <c r="I122" s="48"/>
      <c r="J122" s="48"/>
      <c r="K122" s="48"/>
      <c r="L122" s="48"/>
    </row>
    <row r="123" spans="1:12" x14ac:dyDescent="0.2">
      <c r="A123" s="73"/>
      <c r="B123" s="48"/>
      <c r="C123" s="48"/>
      <c r="D123" s="48"/>
      <c r="E123" s="48"/>
      <c r="F123" s="48"/>
      <c r="G123" s="48"/>
      <c r="H123" s="48"/>
      <c r="I123" s="48"/>
      <c r="J123" s="48"/>
      <c r="K123" s="48"/>
      <c r="L123" s="48"/>
    </row>
    <row r="124" spans="1:12" x14ac:dyDescent="0.2">
      <c r="A124" s="73"/>
      <c r="B124" s="48"/>
      <c r="C124" s="48"/>
      <c r="D124" s="48"/>
      <c r="E124" s="48"/>
      <c r="F124" s="48"/>
      <c r="G124" s="48"/>
      <c r="H124" s="48"/>
      <c r="I124" s="48"/>
      <c r="J124" s="48"/>
      <c r="K124" s="48"/>
      <c r="L124" s="48"/>
    </row>
    <row r="125" spans="1:12" x14ac:dyDescent="0.2">
      <c r="A125" s="72"/>
      <c r="B125" s="48"/>
      <c r="C125" s="48"/>
      <c r="D125" s="48"/>
      <c r="E125" s="48"/>
      <c r="F125" s="48"/>
      <c r="G125" s="48"/>
      <c r="H125" s="48"/>
      <c r="I125" s="48"/>
      <c r="J125" s="48"/>
      <c r="K125" s="48"/>
      <c r="L125" s="48"/>
    </row>
    <row r="126" spans="1:12" x14ac:dyDescent="0.2">
      <c r="A126" s="73"/>
      <c r="B126" s="48"/>
      <c r="C126" s="48"/>
      <c r="D126" s="48"/>
      <c r="E126" s="48"/>
      <c r="F126" s="48"/>
      <c r="G126" s="48"/>
      <c r="H126" s="48"/>
      <c r="I126" s="48"/>
      <c r="J126" s="48"/>
      <c r="K126" s="48"/>
      <c r="L126" s="48"/>
    </row>
    <row r="127" spans="1:12" x14ac:dyDescent="0.2">
      <c r="A127" s="75"/>
      <c r="B127" s="75"/>
      <c r="C127" s="45"/>
      <c r="D127" s="45"/>
      <c r="E127" s="45"/>
      <c r="F127" s="45"/>
      <c r="G127" s="45"/>
      <c r="H127" s="45"/>
      <c r="I127" s="45"/>
      <c r="J127" s="45"/>
      <c r="K127" s="45"/>
      <c r="L127" s="48"/>
    </row>
    <row r="128" spans="1:12" x14ac:dyDescent="0.2">
      <c r="A128" s="48"/>
      <c r="B128" s="48"/>
      <c r="C128" s="48"/>
      <c r="D128" s="48"/>
      <c r="E128" s="48"/>
      <c r="F128" s="48"/>
      <c r="G128" s="48"/>
      <c r="H128" s="48"/>
      <c r="I128" s="48"/>
      <c r="J128" s="48"/>
      <c r="K128" s="48"/>
      <c r="L128" s="48"/>
    </row>
    <row r="129" spans="1:12" x14ac:dyDescent="0.2">
      <c r="A129" s="70"/>
      <c r="B129" s="70"/>
      <c r="C129" s="48"/>
      <c r="D129" s="48"/>
      <c r="E129" s="48"/>
      <c r="F129" s="48"/>
      <c r="G129" s="48"/>
      <c r="H129" s="48"/>
      <c r="I129" s="48"/>
      <c r="J129" s="48"/>
      <c r="K129" s="48"/>
      <c r="L129" s="48"/>
    </row>
    <row r="130" spans="1:12" x14ac:dyDescent="0.2">
      <c r="A130" s="48"/>
      <c r="B130" s="48"/>
      <c r="C130" s="48"/>
      <c r="D130" s="48"/>
      <c r="E130" s="48"/>
      <c r="F130" s="48"/>
      <c r="G130" s="48"/>
      <c r="H130" s="48"/>
      <c r="I130" s="48"/>
      <c r="J130" s="48"/>
      <c r="K130" s="48"/>
      <c r="L130" s="48"/>
    </row>
    <row r="131" spans="1:12" x14ac:dyDescent="0.2">
      <c r="A131" s="48"/>
      <c r="B131" s="48"/>
      <c r="C131" s="48"/>
      <c r="D131" s="48"/>
      <c r="E131" s="48"/>
      <c r="F131" s="48"/>
      <c r="G131" s="48"/>
      <c r="H131" s="48"/>
      <c r="I131" s="48"/>
      <c r="J131" s="48"/>
      <c r="K131" s="48"/>
      <c r="L131" s="48"/>
    </row>
    <row r="132" spans="1:12" x14ac:dyDescent="0.2">
      <c r="A132" s="48"/>
      <c r="B132" s="48"/>
      <c r="C132" s="48"/>
      <c r="D132" s="48"/>
      <c r="E132" s="48"/>
      <c r="F132" s="48"/>
      <c r="G132" s="48"/>
      <c r="H132" s="48"/>
      <c r="I132" s="48"/>
      <c r="J132" s="48"/>
      <c r="K132" s="48"/>
      <c r="L132" s="48"/>
    </row>
    <row r="133" spans="1:12" x14ac:dyDescent="0.2">
      <c r="A133" s="48"/>
      <c r="B133" s="48"/>
      <c r="C133" s="48"/>
      <c r="D133" s="48"/>
      <c r="E133" s="48"/>
      <c r="F133" s="48"/>
      <c r="G133" s="48"/>
      <c r="H133" s="48"/>
      <c r="I133" s="48"/>
      <c r="J133" s="48"/>
      <c r="K133" s="48"/>
      <c r="L133" s="48"/>
    </row>
    <row r="134" spans="1:12" x14ac:dyDescent="0.2">
      <c r="A134" s="48"/>
      <c r="B134" s="48"/>
      <c r="C134" s="48"/>
      <c r="D134" s="48"/>
      <c r="E134" s="48"/>
      <c r="F134" s="48"/>
      <c r="G134" s="48"/>
      <c r="H134" s="48"/>
      <c r="I134" s="48"/>
      <c r="J134" s="48"/>
      <c r="K134" s="48"/>
      <c r="L134" s="48"/>
    </row>
    <row r="135" spans="1:12" x14ac:dyDescent="0.2">
      <c r="A135" s="48"/>
      <c r="B135" s="48"/>
      <c r="C135" s="48"/>
      <c r="D135" s="48"/>
      <c r="E135" s="48"/>
      <c r="F135" s="48"/>
      <c r="G135" s="48"/>
      <c r="H135" s="48"/>
      <c r="I135" s="48"/>
      <c r="J135" s="48"/>
      <c r="K135" s="48"/>
      <c r="L135" s="48"/>
    </row>
    <row r="136" spans="1:12" x14ac:dyDescent="0.2">
      <c r="A136" s="48"/>
      <c r="B136" s="48"/>
      <c r="C136" s="48"/>
      <c r="D136" s="48"/>
      <c r="E136" s="48"/>
      <c r="F136" s="48"/>
      <c r="G136" s="48"/>
      <c r="H136" s="48"/>
      <c r="I136" s="48"/>
      <c r="J136" s="48"/>
      <c r="K136" s="48"/>
      <c r="L136" s="48"/>
    </row>
    <row r="137" spans="1:12" x14ac:dyDescent="0.2">
      <c r="A137" s="48"/>
      <c r="B137" s="48"/>
      <c r="C137" s="48"/>
      <c r="D137" s="48"/>
      <c r="E137" s="48"/>
      <c r="F137" s="48"/>
      <c r="G137" s="48"/>
      <c r="H137" s="48"/>
      <c r="I137" s="48"/>
      <c r="J137" s="48"/>
      <c r="K137" s="48"/>
      <c r="L137" s="48"/>
    </row>
    <row r="138" spans="1:12" x14ac:dyDescent="0.2">
      <c r="A138" s="48"/>
      <c r="B138" s="48"/>
      <c r="C138" s="48"/>
      <c r="D138" s="48"/>
      <c r="E138" s="48"/>
      <c r="F138" s="48"/>
      <c r="G138" s="48"/>
      <c r="H138" s="48"/>
      <c r="I138" s="48"/>
      <c r="J138" s="48"/>
      <c r="K138" s="48"/>
      <c r="L138" s="48"/>
    </row>
    <row r="139" spans="1:12" x14ac:dyDescent="0.2">
      <c r="A139" s="48"/>
      <c r="B139" s="48"/>
      <c r="C139" s="48"/>
      <c r="D139" s="48"/>
      <c r="E139" s="48"/>
      <c r="F139" s="48"/>
      <c r="G139" s="48"/>
      <c r="H139" s="48"/>
      <c r="I139" s="48"/>
      <c r="J139" s="48"/>
      <c r="K139" s="48"/>
      <c r="L139" s="48"/>
    </row>
    <row r="140" spans="1:12" x14ac:dyDescent="0.2">
      <c r="A140" s="48"/>
      <c r="B140" s="48"/>
      <c r="C140" s="48"/>
      <c r="D140" s="48"/>
      <c r="E140" s="48"/>
      <c r="F140" s="48"/>
      <c r="G140" s="48"/>
      <c r="H140" s="48"/>
      <c r="I140" s="48"/>
      <c r="J140" s="48"/>
      <c r="K140" s="48"/>
      <c r="L140" s="48"/>
    </row>
    <row r="141" spans="1:12" x14ac:dyDescent="0.2">
      <c r="A141" s="48"/>
      <c r="B141" s="48"/>
      <c r="C141" s="48"/>
      <c r="D141" s="48"/>
      <c r="E141" s="48"/>
      <c r="F141" s="48"/>
      <c r="G141" s="48"/>
      <c r="H141" s="48"/>
      <c r="I141" s="48"/>
      <c r="J141" s="48"/>
      <c r="K141" s="48"/>
      <c r="L141" s="48"/>
    </row>
    <row r="142" spans="1:12" x14ac:dyDescent="0.2">
      <c r="A142" s="48"/>
      <c r="B142" s="48"/>
      <c r="C142" s="48"/>
      <c r="D142" s="48"/>
      <c r="E142" s="48"/>
      <c r="F142" s="48"/>
      <c r="G142" s="48"/>
      <c r="H142" s="48"/>
      <c r="I142" s="48"/>
      <c r="J142" s="48"/>
      <c r="K142" s="48"/>
      <c r="L142" s="48"/>
    </row>
    <row r="143" spans="1:12" x14ac:dyDescent="0.2">
      <c r="A143" s="48"/>
      <c r="B143" s="48"/>
      <c r="C143" s="48"/>
      <c r="D143" s="48"/>
      <c r="E143" s="48"/>
      <c r="F143" s="48"/>
      <c r="G143" s="48"/>
      <c r="H143" s="48"/>
      <c r="I143" s="48"/>
      <c r="J143" s="48"/>
      <c r="K143" s="48"/>
      <c r="L143" s="48"/>
    </row>
    <row r="144" spans="1:12" x14ac:dyDescent="0.2">
      <c r="A144" s="48"/>
      <c r="B144" s="48"/>
      <c r="C144" s="48"/>
      <c r="D144" s="48"/>
      <c r="E144" s="48"/>
      <c r="F144" s="48"/>
      <c r="G144" s="48"/>
      <c r="H144" s="48"/>
      <c r="I144" s="48"/>
      <c r="J144" s="48"/>
      <c r="K144" s="48"/>
      <c r="L144" s="48"/>
    </row>
    <row r="145" spans="1:12" x14ac:dyDescent="0.2">
      <c r="A145" s="48"/>
      <c r="B145" s="48"/>
      <c r="C145" s="48"/>
      <c r="D145" s="48"/>
      <c r="E145" s="48"/>
      <c r="F145" s="48"/>
      <c r="G145" s="48"/>
      <c r="H145" s="48"/>
      <c r="I145" s="48"/>
      <c r="J145" s="48"/>
      <c r="K145" s="48"/>
      <c r="L145" s="48"/>
    </row>
    <row r="146" spans="1:12" x14ac:dyDescent="0.2">
      <c r="A146" s="48"/>
      <c r="B146" s="48"/>
      <c r="C146" s="48"/>
      <c r="D146" s="48"/>
      <c r="E146" s="48"/>
      <c r="F146" s="48"/>
      <c r="G146" s="48"/>
      <c r="H146" s="48"/>
      <c r="I146" s="48"/>
      <c r="J146" s="48"/>
      <c r="K146" s="48"/>
      <c r="L146" s="48"/>
    </row>
    <row r="147" spans="1:12" x14ac:dyDescent="0.2">
      <c r="A147" s="48"/>
      <c r="B147" s="48"/>
      <c r="C147" s="48"/>
      <c r="D147" s="48"/>
      <c r="E147" s="48"/>
      <c r="F147" s="48"/>
      <c r="G147" s="48"/>
      <c r="H147" s="48"/>
      <c r="I147" s="48"/>
      <c r="J147" s="48"/>
      <c r="K147" s="48"/>
      <c r="L147" s="48"/>
    </row>
    <row r="148" spans="1:12" x14ac:dyDescent="0.2">
      <c r="A148" s="48"/>
      <c r="B148" s="48"/>
      <c r="C148" s="48"/>
      <c r="D148" s="48"/>
      <c r="E148" s="48"/>
      <c r="F148" s="48"/>
      <c r="G148" s="48"/>
      <c r="H148" s="48"/>
      <c r="I148" s="48"/>
      <c r="J148" s="48"/>
      <c r="K148" s="48"/>
      <c r="L148" s="48"/>
    </row>
    <row r="149" spans="1:12" x14ac:dyDescent="0.2">
      <c r="A149" s="48"/>
      <c r="B149" s="48"/>
      <c r="C149" s="48"/>
      <c r="D149" s="48"/>
      <c r="E149" s="48"/>
      <c r="F149" s="48"/>
      <c r="G149" s="48"/>
      <c r="H149" s="48"/>
      <c r="I149" s="48"/>
      <c r="J149" s="48"/>
      <c r="K149" s="48"/>
      <c r="L149" s="48"/>
    </row>
    <row r="150" spans="1:12" x14ac:dyDescent="0.2">
      <c r="A150" s="48"/>
      <c r="B150" s="48"/>
      <c r="C150" s="48"/>
      <c r="D150" s="48"/>
      <c r="E150" s="48"/>
      <c r="F150" s="48"/>
      <c r="G150" s="48"/>
      <c r="H150" s="48"/>
      <c r="I150" s="48"/>
      <c r="J150" s="48"/>
      <c r="K150" s="48"/>
      <c r="L150" s="48"/>
    </row>
    <row r="151" spans="1:12" x14ac:dyDescent="0.2">
      <c r="A151" s="48"/>
      <c r="B151" s="48"/>
      <c r="C151" s="48"/>
      <c r="D151" s="48"/>
      <c r="E151" s="48"/>
      <c r="F151" s="48"/>
      <c r="G151" s="48"/>
      <c r="H151" s="48"/>
      <c r="I151" s="48"/>
      <c r="J151" s="48"/>
      <c r="K151" s="48"/>
      <c r="L151" s="48"/>
    </row>
    <row r="152" spans="1:12" x14ac:dyDescent="0.2">
      <c r="A152" s="48"/>
      <c r="B152" s="48"/>
      <c r="C152" s="48"/>
      <c r="D152" s="48"/>
      <c r="E152" s="48"/>
      <c r="F152" s="48"/>
      <c r="G152" s="48"/>
      <c r="H152" s="48"/>
      <c r="I152" s="48"/>
      <c r="J152" s="48"/>
      <c r="K152" s="48"/>
      <c r="L152" s="48"/>
    </row>
    <row r="153" spans="1:12" x14ac:dyDescent="0.2">
      <c r="A153" s="48"/>
      <c r="B153" s="48"/>
      <c r="C153" s="48"/>
      <c r="D153" s="48"/>
      <c r="E153" s="48"/>
      <c r="F153" s="48"/>
      <c r="G153" s="48"/>
      <c r="H153" s="48"/>
      <c r="I153" s="48"/>
      <c r="J153" s="48"/>
      <c r="K153" s="48"/>
      <c r="L153" s="48"/>
    </row>
    <row r="154" spans="1:12" x14ac:dyDescent="0.2">
      <c r="A154" s="48"/>
      <c r="B154" s="48"/>
      <c r="C154" s="48"/>
      <c r="D154" s="48"/>
      <c r="E154" s="48"/>
      <c r="F154" s="48"/>
      <c r="G154" s="48"/>
      <c r="H154" s="48"/>
      <c r="I154" s="48"/>
      <c r="J154" s="48"/>
      <c r="K154" s="48"/>
      <c r="L154" s="48"/>
    </row>
    <row r="155" spans="1:12" x14ac:dyDescent="0.2">
      <c r="A155" s="48"/>
      <c r="B155" s="48"/>
      <c r="C155" s="48"/>
      <c r="D155" s="48"/>
      <c r="E155" s="48"/>
      <c r="F155" s="48"/>
      <c r="G155" s="48"/>
      <c r="H155" s="48"/>
      <c r="I155" s="48"/>
      <c r="J155" s="48"/>
      <c r="K155" s="48"/>
      <c r="L155" s="48"/>
    </row>
    <row r="156" spans="1:12" x14ac:dyDescent="0.2">
      <c r="A156" s="48"/>
      <c r="B156" s="48"/>
      <c r="C156" s="48"/>
      <c r="D156" s="48"/>
      <c r="E156" s="48"/>
      <c r="F156" s="48"/>
      <c r="G156" s="48"/>
      <c r="H156" s="48"/>
      <c r="I156" s="48"/>
      <c r="J156" s="48"/>
      <c r="K156" s="48"/>
      <c r="L156" s="48"/>
    </row>
    <row r="157" spans="1:12" x14ac:dyDescent="0.2">
      <c r="A157" s="48"/>
      <c r="B157" s="48"/>
      <c r="C157" s="48"/>
      <c r="D157" s="48"/>
      <c r="E157" s="48"/>
      <c r="F157" s="48"/>
      <c r="G157" s="48"/>
      <c r="H157" s="48"/>
      <c r="I157" s="48"/>
      <c r="J157" s="48"/>
      <c r="K157" s="48"/>
      <c r="L157" s="48"/>
    </row>
    <row r="158" spans="1:12" x14ac:dyDescent="0.2">
      <c r="A158" s="48"/>
      <c r="B158" s="48"/>
      <c r="C158" s="48"/>
      <c r="D158" s="48"/>
      <c r="E158" s="48"/>
      <c r="F158" s="48"/>
      <c r="G158" s="48"/>
      <c r="H158" s="48"/>
      <c r="I158" s="48"/>
      <c r="J158" s="48"/>
      <c r="K158" s="48"/>
      <c r="L158" s="48"/>
    </row>
    <row r="159" spans="1:12" x14ac:dyDescent="0.2">
      <c r="A159" s="48"/>
      <c r="B159" s="48"/>
      <c r="C159" s="48"/>
      <c r="D159" s="48"/>
      <c r="E159" s="48"/>
      <c r="F159" s="48"/>
      <c r="G159" s="48"/>
      <c r="H159" s="48"/>
      <c r="I159" s="48"/>
      <c r="J159" s="48"/>
      <c r="K159" s="48"/>
      <c r="L159" s="48"/>
    </row>
    <row r="160" spans="1:12" x14ac:dyDescent="0.2">
      <c r="A160" s="48"/>
      <c r="B160" s="48"/>
      <c r="C160" s="48"/>
      <c r="D160" s="48"/>
      <c r="E160" s="48"/>
      <c r="F160" s="48"/>
      <c r="G160" s="48"/>
      <c r="H160" s="48"/>
      <c r="I160" s="48"/>
      <c r="J160" s="48"/>
      <c r="K160" s="48"/>
      <c r="L160" s="48"/>
    </row>
    <row r="161" spans="1:12" x14ac:dyDescent="0.2">
      <c r="A161" s="48"/>
      <c r="B161" s="48"/>
      <c r="C161" s="48"/>
      <c r="D161" s="48"/>
      <c r="E161" s="48"/>
      <c r="F161" s="48"/>
      <c r="G161" s="48"/>
      <c r="H161" s="48"/>
      <c r="I161" s="48"/>
      <c r="J161" s="48"/>
      <c r="K161" s="48"/>
      <c r="L161" s="48"/>
    </row>
    <row r="162" spans="1:12" x14ac:dyDescent="0.2">
      <c r="A162" s="48"/>
      <c r="B162" s="48"/>
      <c r="C162" s="48"/>
      <c r="D162" s="48"/>
      <c r="E162" s="48"/>
      <c r="F162" s="48"/>
      <c r="G162" s="48"/>
      <c r="H162" s="48"/>
      <c r="I162" s="48"/>
      <c r="J162" s="48"/>
      <c r="K162" s="48"/>
      <c r="L162" s="48"/>
    </row>
    <row r="163" spans="1:12" x14ac:dyDescent="0.2">
      <c r="A163" s="48"/>
      <c r="B163" s="48"/>
      <c r="C163" s="48"/>
      <c r="D163" s="48"/>
      <c r="E163" s="48"/>
      <c r="F163" s="48"/>
      <c r="G163" s="48"/>
      <c r="H163" s="48"/>
      <c r="I163" s="48"/>
      <c r="J163" s="48"/>
      <c r="K163" s="48"/>
      <c r="L163" s="48"/>
    </row>
    <row r="164" spans="1:12" x14ac:dyDescent="0.2">
      <c r="A164" s="48"/>
      <c r="B164" s="48"/>
      <c r="C164" s="48"/>
      <c r="D164" s="48"/>
      <c r="E164" s="48"/>
      <c r="F164" s="48"/>
      <c r="G164" s="48"/>
      <c r="H164" s="48"/>
      <c r="I164" s="48"/>
      <c r="J164" s="48"/>
      <c r="K164" s="48"/>
      <c r="L164" s="48"/>
    </row>
    <row r="165" spans="1:12" x14ac:dyDescent="0.2">
      <c r="A165" s="48"/>
      <c r="B165" s="48"/>
      <c r="C165" s="48"/>
      <c r="D165" s="48"/>
      <c r="E165" s="48"/>
      <c r="F165" s="48"/>
      <c r="G165" s="48"/>
      <c r="H165" s="48"/>
      <c r="I165" s="48"/>
      <c r="J165" s="48"/>
      <c r="K165" s="48"/>
      <c r="L165" s="48"/>
    </row>
    <row r="166" spans="1:12" x14ac:dyDescent="0.2">
      <c r="A166" s="48"/>
      <c r="B166" s="48"/>
      <c r="C166" s="48"/>
      <c r="D166" s="48"/>
      <c r="E166" s="48"/>
      <c r="F166" s="48"/>
      <c r="G166" s="48"/>
      <c r="H166" s="48"/>
      <c r="I166" s="48"/>
      <c r="J166" s="48"/>
      <c r="K166" s="48"/>
      <c r="L166" s="48"/>
    </row>
    <row r="167" spans="1:12" x14ac:dyDescent="0.2">
      <c r="A167" s="48"/>
      <c r="B167" s="48"/>
      <c r="C167" s="48"/>
      <c r="D167" s="48"/>
      <c r="E167" s="48"/>
      <c r="F167" s="48"/>
      <c r="G167" s="48"/>
      <c r="H167" s="48"/>
      <c r="I167" s="48"/>
      <c r="J167" s="48"/>
      <c r="K167" s="48"/>
      <c r="L167" s="48"/>
    </row>
    <row r="168" spans="1:12" x14ac:dyDescent="0.2">
      <c r="A168" s="48"/>
      <c r="B168" s="48"/>
      <c r="C168" s="48"/>
      <c r="D168" s="48"/>
      <c r="E168" s="48"/>
      <c r="F168" s="48"/>
      <c r="G168" s="48"/>
      <c r="H168" s="48"/>
      <c r="I168" s="48"/>
      <c r="J168" s="48"/>
      <c r="K168" s="48"/>
      <c r="L168" s="48"/>
    </row>
    <row r="169" spans="1:12" x14ac:dyDescent="0.2">
      <c r="A169" s="48"/>
      <c r="B169" s="48"/>
      <c r="C169" s="48"/>
      <c r="D169" s="48"/>
      <c r="E169" s="48"/>
      <c r="F169" s="48"/>
      <c r="G169" s="48"/>
      <c r="H169" s="48"/>
      <c r="I169" s="48"/>
      <c r="J169" s="48"/>
      <c r="K169" s="48"/>
      <c r="L169" s="48"/>
    </row>
    <row r="170" spans="1:12" x14ac:dyDescent="0.2">
      <c r="A170" s="48"/>
      <c r="B170" s="48"/>
      <c r="C170" s="48"/>
      <c r="D170" s="48"/>
      <c r="E170" s="48"/>
      <c r="F170" s="48"/>
      <c r="G170" s="48"/>
      <c r="H170" s="48"/>
      <c r="I170" s="48"/>
      <c r="J170" s="48"/>
      <c r="K170" s="48"/>
      <c r="L170" s="48"/>
    </row>
    <row r="171" spans="1:12" x14ac:dyDescent="0.2">
      <c r="A171" s="48"/>
      <c r="B171" s="48"/>
      <c r="C171" s="48"/>
      <c r="D171" s="48"/>
      <c r="E171" s="48"/>
      <c r="F171" s="48"/>
      <c r="G171" s="48"/>
      <c r="H171" s="48"/>
      <c r="I171" s="48"/>
      <c r="J171" s="48"/>
      <c r="K171" s="48"/>
      <c r="L171" s="48"/>
    </row>
    <row r="172" spans="1:12" x14ac:dyDescent="0.2">
      <c r="A172" s="48"/>
      <c r="B172" s="48"/>
      <c r="C172" s="48"/>
      <c r="D172" s="48"/>
      <c r="E172" s="48"/>
      <c r="F172" s="48"/>
      <c r="G172" s="48"/>
      <c r="H172" s="48"/>
      <c r="I172" s="48"/>
      <c r="J172" s="48"/>
      <c r="K172" s="48"/>
      <c r="L172" s="48"/>
    </row>
    <row r="173" spans="1:12" x14ac:dyDescent="0.2">
      <c r="A173" s="48"/>
      <c r="B173" s="48"/>
      <c r="C173" s="48"/>
      <c r="D173" s="48"/>
      <c r="E173" s="48"/>
      <c r="F173" s="48"/>
      <c r="G173" s="48"/>
      <c r="H173" s="48"/>
      <c r="I173" s="48"/>
      <c r="J173" s="48"/>
      <c r="K173" s="48"/>
      <c r="L173" s="48"/>
    </row>
    <row r="174" spans="1:12" x14ac:dyDescent="0.2">
      <c r="A174" s="48"/>
      <c r="B174" s="48"/>
      <c r="C174" s="48"/>
      <c r="D174" s="48"/>
      <c r="E174" s="48"/>
      <c r="F174" s="48"/>
      <c r="G174" s="48"/>
      <c r="H174" s="48"/>
      <c r="I174" s="48"/>
      <c r="J174" s="48"/>
      <c r="K174" s="48"/>
      <c r="L174" s="48"/>
    </row>
    <row r="175" spans="1:12" x14ac:dyDescent="0.2">
      <c r="A175" s="48"/>
      <c r="B175" s="48"/>
      <c r="C175" s="48"/>
      <c r="D175" s="48"/>
      <c r="E175" s="48"/>
      <c r="F175" s="48"/>
      <c r="G175" s="48"/>
      <c r="H175" s="48"/>
      <c r="I175" s="48"/>
      <c r="J175" s="48"/>
      <c r="K175" s="48"/>
      <c r="L175" s="48"/>
    </row>
    <row r="176" spans="1:12" x14ac:dyDescent="0.2">
      <c r="A176" s="48"/>
      <c r="B176" s="48"/>
      <c r="C176" s="48"/>
      <c r="D176" s="48"/>
      <c r="E176" s="48"/>
      <c r="F176" s="48"/>
      <c r="G176" s="48"/>
      <c r="H176" s="48"/>
      <c r="I176" s="48"/>
      <c r="J176" s="48"/>
      <c r="K176" s="48"/>
      <c r="L176" s="48"/>
    </row>
    <row r="177" spans="1:12" x14ac:dyDescent="0.2">
      <c r="A177" s="48"/>
      <c r="B177" s="48"/>
      <c r="C177" s="48"/>
      <c r="D177" s="48"/>
      <c r="E177" s="48"/>
      <c r="F177" s="48"/>
      <c r="G177" s="48"/>
      <c r="H177" s="48"/>
      <c r="I177" s="48"/>
      <c r="J177" s="48"/>
      <c r="K177" s="48"/>
      <c r="L177" s="48"/>
    </row>
    <row r="178" spans="1:12" x14ac:dyDescent="0.2">
      <c r="A178" s="48"/>
      <c r="B178" s="48"/>
      <c r="C178" s="48"/>
      <c r="D178" s="48"/>
      <c r="E178" s="48"/>
      <c r="F178" s="48"/>
      <c r="G178" s="48"/>
      <c r="H178" s="48"/>
      <c r="I178" s="48"/>
      <c r="J178" s="48"/>
      <c r="K178" s="48"/>
      <c r="L178" s="48"/>
    </row>
    <row r="179" spans="1:12" x14ac:dyDescent="0.2">
      <c r="A179" s="48"/>
      <c r="B179" s="48"/>
      <c r="C179" s="48"/>
      <c r="D179" s="48"/>
      <c r="E179" s="48"/>
      <c r="F179" s="48"/>
      <c r="G179" s="48"/>
      <c r="H179" s="48"/>
      <c r="I179" s="48"/>
      <c r="J179" s="48"/>
      <c r="K179" s="48"/>
      <c r="L179" s="48"/>
    </row>
    <row r="180" spans="1:12" x14ac:dyDescent="0.2">
      <c r="A180" s="48"/>
      <c r="B180" s="48"/>
      <c r="C180" s="48"/>
      <c r="D180" s="48"/>
      <c r="E180" s="48"/>
      <c r="F180" s="48"/>
      <c r="G180" s="48"/>
      <c r="H180" s="48"/>
      <c r="I180" s="48"/>
      <c r="J180" s="48"/>
      <c r="K180" s="48"/>
      <c r="L180" s="48"/>
    </row>
    <row r="181" spans="1:12" x14ac:dyDescent="0.2">
      <c r="A181" s="48"/>
      <c r="B181" s="48"/>
      <c r="C181" s="48"/>
      <c r="D181" s="48"/>
      <c r="E181" s="48"/>
      <c r="F181" s="48"/>
      <c r="G181" s="48"/>
      <c r="H181" s="48"/>
      <c r="I181" s="48"/>
      <c r="J181" s="48"/>
      <c r="K181" s="48"/>
      <c r="L181" s="48"/>
    </row>
    <row r="182" spans="1:12" x14ac:dyDescent="0.2">
      <c r="A182" s="48"/>
      <c r="B182" s="48"/>
      <c r="C182" s="48"/>
      <c r="D182" s="48"/>
      <c r="E182" s="48"/>
      <c r="F182" s="48"/>
      <c r="G182" s="48"/>
      <c r="H182" s="48"/>
      <c r="I182" s="48"/>
      <c r="J182" s="48"/>
      <c r="K182" s="48"/>
      <c r="L182" s="48"/>
    </row>
    <row r="183" spans="1:12" x14ac:dyDescent="0.2">
      <c r="A183" s="48"/>
      <c r="B183" s="48"/>
      <c r="C183" s="48"/>
      <c r="D183" s="48"/>
      <c r="E183" s="48"/>
      <c r="F183" s="48"/>
      <c r="G183" s="48"/>
      <c r="H183" s="48"/>
      <c r="I183" s="48"/>
      <c r="J183" s="48"/>
      <c r="K183" s="48"/>
      <c r="L183" s="48"/>
    </row>
  </sheetData>
  <mergeCells count="38">
    <mergeCell ref="X2:AB2"/>
    <mergeCell ref="A3:AA3"/>
    <mergeCell ref="C5:I5"/>
    <mergeCell ref="L5:M5"/>
    <mergeCell ref="N5:O5"/>
    <mergeCell ref="P5:Q5"/>
    <mergeCell ref="R5:S5"/>
    <mergeCell ref="T5:U5"/>
    <mergeCell ref="V5:W5"/>
    <mergeCell ref="X5:Y5"/>
    <mergeCell ref="AH7:AH8"/>
    <mergeCell ref="A18:B18"/>
    <mergeCell ref="Z5:AA5"/>
    <mergeCell ref="AB5:AB8"/>
    <mergeCell ref="AC5:AC8"/>
    <mergeCell ref="A6:A8"/>
    <mergeCell ref="B6:B8"/>
    <mergeCell ref="C6:D7"/>
    <mergeCell ref="E6:E8"/>
    <mergeCell ref="H6:H8"/>
    <mergeCell ref="AG7:AG8"/>
    <mergeCell ref="T6:U7"/>
    <mergeCell ref="V6:W7"/>
    <mergeCell ref="X6:Y7"/>
    <mergeCell ref="X27:AB27"/>
    <mergeCell ref="AA23:AB23"/>
    <mergeCell ref="Q24:X24"/>
    <mergeCell ref="R25:AB25"/>
    <mergeCell ref="S26:AB26"/>
    <mergeCell ref="C22:D22"/>
    <mergeCell ref="O22:W22"/>
    <mergeCell ref="Y22:AB22"/>
    <mergeCell ref="Z6:AA7"/>
    <mergeCell ref="N6:O7"/>
    <mergeCell ref="P6:Q7"/>
    <mergeCell ref="R6:S7"/>
    <mergeCell ref="I6:I8"/>
    <mergeCell ref="L6:M7"/>
  </mergeCells>
  <phoneticPr fontId="23" type="noConversion"/>
  <pageMargins left="0.75" right="0.75" top="1" bottom="1" header="0.5" footer="0.5"/>
  <pageSetup paperSize="9" orientation="portrait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B184"/>
  <sheetViews>
    <sheetView topLeftCell="A7" zoomScaleNormal="100" workbookViewId="0">
      <selection activeCell="K15" sqref="K15"/>
    </sheetView>
  </sheetViews>
  <sheetFormatPr defaultColWidth="13" defaultRowHeight="11.25" x14ac:dyDescent="0.2"/>
  <cols>
    <col min="1" max="1" width="2.85546875" style="1" customWidth="1"/>
    <col min="2" max="2" width="14.28515625" style="1" customWidth="1"/>
    <col min="3" max="3" width="4.5703125" style="1" customWidth="1"/>
    <col min="4" max="4" width="7" style="1" customWidth="1"/>
    <col min="5" max="5" width="6.42578125" style="1" customWidth="1"/>
    <col min="6" max="6" width="9.7109375" style="1" customWidth="1"/>
    <col min="7" max="7" width="10.140625" style="1" customWidth="1"/>
    <col min="8" max="8" width="7.28515625" style="1" customWidth="1"/>
    <col min="9" max="9" width="8.28515625" style="1" customWidth="1"/>
    <col min="10" max="11" width="6.140625" style="1" customWidth="1"/>
    <col min="12" max="12" width="6.5703125" style="1" customWidth="1"/>
    <col min="13" max="13" width="6.85546875" style="1" customWidth="1"/>
    <col min="14" max="14" width="6.140625" style="1" customWidth="1"/>
    <col min="15" max="15" width="7.140625" style="1" customWidth="1"/>
    <col min="16" max="16" width="5.5703125" style="1" customWidth="1"/>
    <col min="17" max="17" width="7.42578125" style="1" customWidth="1"/>
    <col min="18" max="18" width="3.7109375" style="1" customWidth="1"/>
    <col min="19" max="19" width="5.7109375" style="1" customWidth="1"/>
    <col min="20" max="20" width="3.140625" style="1" customWidth="1"/>
    <col min="21" max="21" width="5" style="1" customWidth="1"/>
    <col min="22" max="23" width="5.28515625" style="1" customWidth="1"/>
    <col min="24" max="24" width="3.42578125" style="1" customWidth="1"/>
    <col min="25" max="25" width="4.7109375" style="1" customWidth="1"/>
    <col min="26" max="26" width="4.140625" style="1" customWidth="1"/>
    <col min="27" max="27" width="6" style="1" customWidth="1"/>
    <col min="28" max="28" width="5.28515625" style="1" customWidth="1"/>
    <col min="29" max="29" width="5.7109375" style="1" customWidth="1"/>
    <col min="30" max="30" width="5.5703125" style="1" customWidth="1"/>
    <col min="31" max="31" width="8" style="1" customWidth="1"/>
    <col min="32" max="32" width="9" style="1" customWidth="1"/>
    <col min="33" max="33" width="4.7109375" style="1" customWidth="1"/>
    <col min="34" max="34" width="7.5703125" style="1" customWidth="1"/>
    <col min="35" max="35" width="4.28515625" style="1" customWidth="1"/>
    <col min="36" max="37" width="7.5703125" style="1" customWidth="1"/>
    <col min="38" max="38" width="5.7109375" style="1" customWidth="1"/>
    <col min="39" max="39" width="7.140625" style="1" customWidth="1"/>
    <col min="40" max="40" width="5.42578125" style="1" customWidth="1"/>
    <col min="41" max="41" width="5.5703125" style="1" customWidth="1"/>
    <col min="42" max="42" width="4.28515625" style="1" customWidth="1"/>
    <col min="43" max="45" width="7.5703125" style="1" customWidth="1"/>
    <col min="46" max="46" width="7.28515625" style="1" customWidth="1"/>
    <col min="47" max="47" width="6.7109375" style="1" customWidth="1"/>
    <col min="48" max="16384" width="13" style="1"/>
  </cols>
  <sheetData>
    <row r="1" spans="1:54" ht="14.25" customHeight="1" x14ac:dyDescent="0.2">
      <c r="AF1" s="56" t="s">
        <v>0</v>
      </c>
      <c r="AG1" s="56"/>
      <c r="AH1" s="56"/>
      <c r="AI1" s="56"/>
      <c r="AJ1" s="56"/>
      <c r="AK1" s="56"/>
      <c r="AL1" s="56"/>
      <c r="AM1" s="56"/>
      <c r="AN1" s="56"/>
      <c r="AO1" s="56"/>
      <c r="AP1" s="56"/>
      <c r="AQ1" s="56"/>
      <c r="AR1" s="56"/>
      <c r="AS1" s="56"/>
    </row>
    <row r="2" spans="1:54" ht="18" customHeight="1" x14ac:dyDescent="0.2">
      <c r="AB2" s="466"/>
      <c r="AC2" s="466"/>
      <c r="AD2" s="466"/>
      <c r="AE2" s="466"/>
      <c r="AF2" s="466"/>
    </row>
    <row r="3" spans="1:54" ht="55.5" customHeight="1" x14ac:dyDescent="0.2">
      <c r="A3" s="468" t="s">
        <v>33</v>
      </c>
      <c r="B3" s="468"/>
      <c r="C3" s="468"/>
      <c r="D3" s="468"/>
      <c r="E3" s="468"/>
      <c r="F3" s="468"/>
      <c r="G3" s="468"/>
      <c r="H3" s="468"/>
      <c r="I3" s="468"/>
      <c r="J3" s="468"/>
      <c r="K3" s="468"/>
      <c r="L3" s="468"/>
      <c r="M3" s="468"/>
      <c r="N3" s="468"/>
      <c r="O3" s="468"/>
      <c r="P3" s="468"/>
      <c r="Q3" s="468"/>
      <c r="R3" s="468"/>
      <c r="S3" s="468"/>
      <c r="T3" s="468"/>
      <c r="U3" s="468"/>
      <c r="V3" s="468"/>
      <c r="W3" s="468"/>
      <c r="X3" s="468"/>
      <c r="Y3" s="468"/>
      <c r="Z3" s="468"/>
      <c r="AA3" s="468"/>
      <c r="AB3" s="468"/>
      <c r="AC3" s="468"/>
      <c r="AD3" s="468"/>
      <c r="AE3" s="468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</row>
    <row r="4" spans="1:54" ht="6" customHeight="1" thickBo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</row>
    <row r="5" spans="1:54" ht="30" customHeight="1" x14ac:dyDescent="0.2">
      <c r="A5" s="4"/>
      <c r="B5" s="5"/>
      <c r="C5" s="454" t="s">
        <v>1</v>
      </c>
      <c r="D5" s="467"/>
      <c r="E5" s="467"/>
      <c r="F5" s="467"/>
      <c r="G5" s="467"/>
      <c r="H5" s="455"/>
      <c r="I5" s="541" t="s">
        <v>39</v>
      </c>
      <c r="J5" s="542"/>
      <c r="K5" s="542"/>
      <c r="L5" s="542"/>
      <c r="M5" s="542"/>
      <c r="N5" s="542"/>
      <c r="O5" s="542"/>
      <c r="P5" s="542"/>
      <c r="Q5" s="543"/>
      <c r="R5" s="454" t="s">
        <v>2</v>
      </c>
      <c r="S5" s="455"/>
      <c r="T5" s="454" t="s">
        <v>2</v>
      </c>
      <c r="U5" s="455"/>
      <c r="V5" s="456" t="s">
        <v>2</v>
      </c>
      <c r="W5" s="456"/>
      <c r="X5" s="456" t="s">
        <v>2</v>
      </c>
      <c r="Y5" s="456"/>
      <c r="Z5" s="454" t="s">
        <v>2</v>
      </c>
      <c r="AA5" s="467"/>
      <c r="AB5" s="456" t="s">
        <v>2</v>
      </c>
      <c r="AC5" s="456"/>
      <c r="AD5" s="456" t="s">
        <v>2</v>
      </c>
      <c r="AE5" s="454"/>
      <c r="AF5" s="509" t="s">
        <v>3</v>
      </c>
      <c r="AG5" s="454" t="s">
        <v>2</v>
      </c>
      <c r="AH5" s="455"/>
      <c r="AI5" s="503" t="s">
        <v>2</v>
      </c>
      <c r="AJ5" s="539"/>
      <c r="AK5" s="536" t="str">
        <f>'2017'!AB5</f>
        <v>Всичко средства по държавна  дейност 338</v>
      </c>
      <c r="AL5" s="538" t="str">
        <f>'2017'!AD5</f>
        <v>100% от средствата</v>
      </c>
      <c r="AM5" s="538"/>
      <c r="AN5" s="538"/>
      <c r="AO5" s="538"/>
      <c r="AP5" s="538"/>
      <c r="AQ5" s="538"/>
      <c r="AR5" s="538" t="str">
        <f>'2017'!AJ5</f>
        <v>Всичко средства по държавна  дейност 389</v>
      </c>
      <c r="AS5" s="538" t="str">
        <f>'2017'!AM5</f>
        <v>Всичко за училището</v>
      </c>
      <c r="AT5" s="512" t="s">
        <v>38</v>
      </c>
      <c r="AU5" s="6"/>
    </row>
    <row r="6" spans="1:54" ht="30.75" customHeight="1" x14ac:dyDescent="0.2">
      <c r="A6" s="482" t="s">
        <v>4</v>
      </c>
      <c r="B6" s="491" t="s">
        <v>5</v>
      </c>
      <c r="C6" s="521" t="s">
        <v>31</v>
      </c>
      <c r="D6" s="531"/>
      <c r="E6" s="533" t="s">
        <v>32</v>
      </c>
      <c r="F6" s="492" t="s">
        <v>6</v>
      </c>
      <c r="G6" s="494" t="s">
        <v>7</v>
      </c>
      <c r="H6" s="530" t="s">
        <v>7</v>
      </c>
      <c r="I6" s="118"/>
      <c r="J6" s="118"/>
      <c r="K6" s="513">
        <v>18835.599999999999</v>
      </c>
      <c r="L6" s="514"/>
      <c r="M6" s="525">
        <v>28253.4</v>
      </c>
      <c r="N6" s="526"/>
      <c r="O6" s="527"/>
      <c r="P6" s="121"/>
      <c r="Q6" s="123"/>
      <c r="R6" s="515" t="s">
        <v>8</v>
      </c>
      <c r="S6" s="516"/>
      <c r="T6" s="515" t="s">
        <v>9</v>
      </c>
      <c r="U6" s="516"/>
      <c r="V6" s="515" t="s">
        <v>10</v>
      </c>
      <c r="W6" s="516"/>
      <c r="X6" s="515" t="s">
        <v>35</v>
      </c>
      <c r="Y6" s="516"/>
      <c r="Z6" s="521" t="s">
        <v>11</v>
      </c>
      <c r="AA6" s="522"/>
      <c r="AB6" s="515" t="s">
        <v>12</v>
      </c>
      <c r="AC6" s="516"/>
      <c r="AD6" s="515" t="s">
        <v>13</v>
      </c>
      <c r="AE6" s="519"/>
      <c r="AF6" s="510"/>
      <c r="AG6" s="450" t="s">
        <v>34</v>
      </c>
      <c r="AH6" s="451"/>
      <c r="AI6" s="472" t="e">
        <f>'2017'!#REF!</f>
        <v>#REF!</v>
      </c>
      <c r="AJ6" s="540"/>
      <c r="AK6" s="537"/>
      <c r="AL6" s="538" t="str">
        <f>'2017'!AD6</f>
        <v>допълващ стандарт за поддръжка на автобуси</v>
      </c>
      <c r="AM6" s="538"/>
      <c r="AN6" s="538"/>
      <c r="AO6" s="538"/>
      <c r="AP6" s="538"/>
      <c r="AQ6" s="538"/>
      <c r="AR6" s="538"/>
      <c r="AS6" s="538"/>
      <c r="AT6" s="512"/>
      <c r="AU6" s="6"/>
    </row>
    <row r="7" spans="1:54" ht="51" customHeight="1" x14ac:dyDescent="0.2">
      <c r="A7" s="482"/>
      <c r="B7" s="491"/>
      <c r="C7" s="523"/>
      <c r="D7" s="532"/>
      <c r="E7" s="534"/>
      <c r="F7" s="493"/>
      <c r="G7" s="494"/>
      <c r="H7" s="530"/>
      <c r="I7" s="119" t="s">
        <v>42</v>
      </c>
      <c r="J7" s="120" t="s">
        <v>38</v>
      </c>
      <c r="K7" s="120" t="s">
        <v>44</v>
      </c>
      <c r="L7" s="120" t="s">
        <v>45</v>
      </c>
      <c r="M7" s="140" t="s">
        <v>65</v>
      </c>
      <c r="N7" s="140" t="s">
        <v>66</v>
      </c>
      <c r="O7" s="140" t="s">
        <v>67</v>
      </c>
      <c r="P7" s="120" t="s">
        <v>40</v>
      </c>
      <c r="Q7" s="528" t="s">
        <v>41</v>
      </c>
      <c r="R7" s="517"/>
      <c r="S7" s="518"/>
      <c r="T7" s="517"/>
      <c r="U7" s="518"/>
      <c r="V7" s="517"/>
      <c r="W7" s="518"/>
      <c r="X7" s="517"/>
      <c r="Y7" s="518"/>
      <c r="Z7" s="523"/>
      <c r="AA7" s="524"/>
      <c r="AB7" s="517"/>
      <c r="AC7" s="518"/>
      <c r="AD7" s="517"/>
      <c r="AE7" s="520"/>
      <c r="AF7" s="510"/>
      <c r="AG7" s="452"/>
      <c r="AH7" s="453"/>
      <c r="AI7" s="472"/>
      <c r="AJ7" s="540"/>
      <c r="AK7" s="537"/>
      <c r="AL7" s="538" t="str">
        <f>'2017'!AD7</f>
        <v>11÷15 м</v>
      </c>
      <c r="AM7" s="538"/>
      <c r="AN7" s="538" t="str">
        <f>'2017'!AF7</f>
        <v xml:space="preserve"> 26÷29 м</v>
      </c>
      <c r="AO7" s="538"/>
      <c r="AP7" s="538" t="str">
        <f>'2017'!AH7</f>
        <v>над 30 м</v>
      </c>
      <c r="AQ7" s="538"/>
      <c r="AR7" s="538"/>
      <c r="AS7" s="538"/>
      <c r="AT7" s="512"/>
      <c r="AU7" s="6"/>
      <c r="AW7" s="9"/>
      <c r="AX7" s="506"/>
      <c r="AY7" s="506"/>
      <c r="AZ7" s="10"/>
      <c r="BA7" s="9"/>
      <c r="BB7" s="9"/>
    </row>
    <row r="8" spans="1:54" ht="31.5" customHeight="1" x14ac:dyDescent="0.2">
      <c r="A8" s="482"/>
      <c r="B8" s="491"/>
      <c r="C8" s="198"/>
      <c r="D8" s="199"/>
      <c r="E8" s="534"/>
      <c r="F8" s="154"/>
      <c r="G8" s="494"/>
      <c r="H8" s="530"/>
      <c r="I8" s="119"/>
      <c r="J8" s="120"/>
      <c r="K8" s="200">
        <f>0.25*K6</f>
        <v>4708.8999999999996</v>
      </c>
      <c r="L8" s="200">
        <f>0.75*K6</f>
        <v>14126.699999999999</v>
      </c>
      <c r="M8" s="200">
        <f>0.49434*M6</f>
        <v>13966.785756000001</v>
      </c>
      <c r="N8" s="200">
        <f>0.10374*M6</f>
        <v>2931.0077160000001</v>
      </c>
      <c r="O8" s="200">
        <f>0.402*M6</f>
        <v>11357.866800000002</v>
      </c>
      <c r="P8" s="120"/>
      <c r="Q8" s="528"/>
      <c r="R8" s="155"/>
      <c r="S8" s="156"/>
      <c r="T8" s="155"/>
      <c r="U8" s="156"/>
      <c r="V8" s="155"/>
      <c r="W8" s="156"/>
      <c r="X8" s="155"/>
      <c r="Y8" s="156"/>
      <c r="Z8" s="158"/>
      <c r="AA8" s="159"/>
      <c r="AB8" s="155"/>
      <c r="AC8" s="156"/>
      <c r="AD8" s="155"/>
      <c r="AE8" s="157"/>
      <c r="AF8" s="510"/>
      <c r="AG8" s="152"/>
      <c r="AH8" s="153"/>
      <c r="AI8" s="163"/>
      <c r="AJ8" s="165"/>
      <c r="AK8" s="537"/>
      <c r="AL8" s="14"/>
      <c r="AM8" s="14"/>
      <c r="AN8" s="14"/>
      <c r="AO8" s="14"/>
      <c r="AP8" s="14"/>
      <c r="AQ8" s="14"/>
      <c r="AR8" s="538"/>
      <c r="AS8" s="538"/>
      <c r="AT8" s="512"/>
      <c r="AU8" s="6"/>
      <c r="AW8" s="9"/>
      <c r="AX8" s="506"/>
      <c r="AY8" s="506"/>
      <c r="AZ8" s="10"/>
      <c r="BA8" s="9"/>
      <c r="BB8" s="9"/>
    </row>
    <row r="9" spans="1:54" ht="41.25" customHeight="1" x14ac:dyDescent="0.2">
      <c r="A9" s="482"/>
      <c r="B9" s="491"/>
      <c r="C9" s="133" t="s">
        <v>14</v>
      </c>
      <c r="D9" s="134">
        <v>1611</v>
      </c>
      <c r="E9" s="535"/>
      <c r="F9" s="135">
        <v>4708935</v>
      </c>
      <c r="G9" s="494"/>
      <c r="H9" s="530"/>
      <c r="I9" s="115"/>
      <c r="J9" s="121"/>
      <c r="K9" s="121" t="s">
        <v>53</v>
      </c>
      <c r="L9" s="122" t="s">
        <v>54</v>
      </c>
      <c r="M9" s="122" t="s">
        <v>50</v>
      </c>
      <c r="N9" s="122" t="s">
        <v>51</v>
      </c>
      <c r="O9" s="122" t="s">
        <v>52</v>
      </c>
      <c r="P9" s="122"/>
      <c r="Q9" s="529"/>
      <c r="R9" s="125" t="s">
        <v>14</v>
      </c>
      <c r="S9" s="126">
        <v>373</v>
      </c>
      <c r="T9" s="125" t="s">
        <v>14</v>
      </c>
      <c r="U9" s="127">
        <v>3070</v>
      </c>
      <c r="V9" s="125" t="s">
        <v>14</v>
      </c>
      <c r="W9" s="127">
        <v>25</v>
      </c>
      <c r="X9" s="125" t="s">
        <v>14</v>
      </c>
      <c r="Y9" s="127">
        <v>862</v>
      </c>
      <c r="Z9" s="125" t="s">
        <v>14</v>
      </c>
      <c r="AA9" s="125">
        <v>87</v>
      </c>
      <c r="AB9" s="125" t="s">
        <v>14</v>
      </c>
      <c r="AC9" s="127">
        <v>72</v>
      </c>
      <c r="AD9" s="125" t="s">
        <v>14</v>
      </c>
      <c r="AE9" s="128">
        <v>580</v>
      </c>
      <c r="AF9" s="511"/>
      <c r="AG9" s="8" t="s">
        <v>14</v>
      </c>
      <c r="AH9" s="14">
        <v>326</v>
      </c>
      <c r="AI9" s="14" t="e">
        <f>'2017'!#REF!</f>
        <v>#REF!</v>
      </c>
      <c r="AJ9" s="77" t="e">
        <f>'2017'!#REF!</f>
        <v>#REF!</v>
      </c>
      <c r="AK9" s="537"/>
      <c r="AL9" s="14" t="str">
        <f>'2017'!AD8</f>
        <v>бр. авт</v>
      </c>
      <c r="AM9" s="14">
        <f>'2017'!AE8</f>
        <v>3000</v>
      </c>
      <c r="AN9" s="14" t="str">
        <f>'2017'!AF8</f>
        <v>бр. авт</v>
      </c>
      <c r="AO9" s="14">
        <f>'2017'!AG8</f>
        <v>5000</v>
      </c>
      <c r="AP9" s="14" t="str">
        <f>'2017'!AH8</f>
        <v>бр. авт</v>
      </c>
      <c r="AQ9" s="14">
        <f>'2017'!AI8</f>
        <v>6000</v>
      </c>
      <c r="AR9" s="538"/>
      <c r="AS9" s="538"/>
      <c r="AT9" s="512"/>
      <c r="AU9" s="15"/>
      <c r="AW9" s="9"/>
      <c r="AX9" s="506"/>
      <c r="AY9" s="506"/>
      <c r="AZ9" s="16"/>
      <c r="BA9" s="9"/>
      <c r="BB9" s="9"/>
    </row>
    <row r="10" spans="1:54" ht="27" customHeight="1" x14ac:dyDescent="0.2">
      <c r="A10" s="80">
        <v>1</v>
      </c>
      <c r="B10" s="130" t="s">
        <v>15</v>
      </c>
      <c r="C10" s="82">
        <v>320</v>
      </c>
      <c r="D10" s="83">
        <f>$D$9*C10</f>
        <v>515520</v>
      </c>
      <c r="E10" s="83">
        <v>29000</v>
      </c>
      <c r="F10" s="84">
        <f t="shared" ref="F10:F18" si="0">$F$9*C10/$C$19</f>
        <v>488447.06645056728</v>
      </c>
      <c r="G10" s="85">
        <f>F10+E10</f>
        <v>517447.06645056728</v>
      </c>
      <c r="H10" s="83">
        <f>G10</f>
        <v>517447.06645056728</v>
      </c>
      <c r="I10" s="116">
        <f>F10-F10*1%</f>
        <v>483562.5957860616</v>
      </c>
      <c r="J10" s="129">
        <f>F10*1%</f>
        <v>4884.4706645056731</v>
      </c>
      <c r="K10" s="129">
        <f>C10*K8/1510</f>
        <v>997.91258278145699</v>
      </c>
      <c r="L10" s="129"/>
      <c r="M10" s="129"/>
      <c r="N10" s="129">
        <f>C10*N8/320</f>
        <v>2931.0077160000001</v>
      </c>
      <c r="O10" s="129"/>
      <c r="P10" s="129">
        <f>SUM(K10:O10)</f>
        <v>3928.9202987814569</v>
      </c>
      <c r="Q10" s="129">
        <f>SUM(I10,P10)</f>
        <v>487491.51608484308</v>
      </c>
      <c r="R10" s="82">
        <v>3</v>
      </c>
      <c r="S10" s="83">
        <f t="shared" ref="S10:S18" si="1">R10*$S$9</f>
        <v>1119</v>
      </c>
      <c r="T10" s="83">
        <v>1</v>
      </c>
      <c r="U10" s="83">
        <f t="shared" ref="U10:U18" si="2">T10*$U$9</f>
        <v>3070</v>
      </c>
      <c r="V10" s="82">
        <f t="shared" ref="V10:V18" si="3">C10</f>
        <v>320</v>
      </c>
      <c r="W10" s="83">
        <f t="shared" ref="W10:W18" si="4">V10*$W$9</f>
        <v>8000</v>
      </c>
      <c r="X10" s="83"/>
      <c r="Y10" s="83">
        <f t="shared" ref="Y10:Y18" si="5">X10*$Y$9</f>
        <v>0</v>
      </c>
      <c r="Z10" s="87">
        <v>215</v>
      </c>
      <c r="AA10" s="87">
        <f t="shared" ref="AA10:AA18" si="6">Z10*$AA$9</f>
        <v>18705</v>
      </c>
      <c r="AB10" s="88"/>
      <c r="AC10" s="89"/>
      <c r="AD10" s="83"/>
      <c r="AE10" s="90">
        <f t="shared" ref="AE10:AE18" si="7">AD10*$AE$9</f>
        <v>0</v>
      </c>
      <c r="AF10" s="160">
        <f>Q10+E10+S10+U10+W10+AA10+AC10+AE10+Y10</f>
        <v>547385.51608484308</v>
      </c>
      <c r="AG10" s="83">
        <v>1</v>
      </c>
      <c r="AH10" s="83">
        <f>AG10*$AH$9</f>
        <v>326</v>
      </c>
      <c r="AI10" s="83" t="e">
        <f>'2017'!#REF!</f>
        <v>#REF!</v>
      </c>
      <c r="AJ10" s="90" t="e">
        <f>'2017'!#REF!</f>
        <v>#REF!</v>
      </c>
      <c r="AK10" s="168">
        <f>'2017'!AB9</f>
        <v>359</v>
      </c>
      <c r="AL10" s="161">
        <f>'2017'!AD9</f>
        <v>0</v>
      </c>
      <c r="AM10" s="161">
        <f>'2017'!AE9</f>
        <v>0</v>
      </c>
      <c r="AN10" s="161">
        <f>'2017'!AF9</f>
        <v>0</v>
      </c>
      <c r="AO10" s="161">
        <f>'2017'!AG9</f>
        <v>0</v>
      </c>
      <c r="AP10" s="161">
        <f>'2017'!AH9</f>
        <v>0</v>
      </c>
      <c r="AQ10" s="161">
        <f>'2017'!AI9</f>
        <v>0</v>
      </c>
      <c r="AR10" s="161">
        <f>'2017'!AJ9</f>
        <v>0</v>
      </c>
      <c r="AS10" s="170">
        <f>'2017'!AM9</f>
        <v>584275.64627659577</v>
      </c>
      <c r="AT10" s="27">
        <f t="shared" ref="AT10:AT19" si="8">P10-J10</f>
        <v>-955.55036572421614</v>
      </c>
      <c r="AU10" s="28"/>
      <c r="AW10" s="9"/>
      <c r="AX10" s="29"/>
      <c r="AY10" s="30"/>
      <c r="AZ10" s="16"/>
      <c r="BA10" s="9"/>
      <c r="BB10" s="16"/>
    </row>
    <row r="11" spans="1:54" ht="25.5" customHeight="1" x14ac:dyDescent="0.2">
      <c r="A11" s="31">
        <v>2</v>
      </c>
      <c r="B11" s="131" t="s">
        <v>16</v>
      </c>
      <c r="C11" s="19">
        <v>416</v>
      </c>
      <c r="D11" s="20">
        <f t="shared" ref="D11:D20" si="9">$D$9*C11</f>
        <v>670176</v>
      </c>
      <c r="E11" s="20">
        <v>29000</v>
      </c>
      <c r="F11" s="21">
        <f t="shared" si="0"/>
        <v>634981.18638573738</v>
      </c>
      <c r="G11" s="22">
        <f t="shared" ref="G11:G18" si="10">F11+E11</f>
        <v>663981.18638573738</v>
      </c>
      <c r="H11" s="20">
        <f t="shared" ref="H11:H18" si="11">G11</f>
        <v>663981.18638573738</v>
      </c>
      <c r="I11" s="116">
        <f t="shared" ref="I11:I18" si="12">F11-F11*1%</f>
        <v>628631.37452188006</v>
      </c>
      <c r="J11" s="129">
        <f t="shared" ref="J11:J18" si="13">F11*1%</f>
        <v>6349.8118638573742</v>
      </c>
      <c r="K11" s="129"/>
      <c r="L11" s="129">
        <f>C11*L8/1575</f>
        <v>3731.2426666666661</v>
      </c>
      <c r="M11" s="129"/>
      <c r="N11" s="129"/>
      <c r="O11" s="129">
        <f>C11*O8/2478</f>
        <v>1906.728244067797</v>
      </c>
      <c r="P11" s="129">
        <f t="shared" ref="P11:P18" si="14">SUM(K11:O11)</f>
        <v>5637.9709107344634</v>
      </c>
      <c r="Q11" s="129">
        <f t="shared" ref="Q11:Q19" si="15">SUM(I11,P11)</f>
        <v>634269.34543261456</v>
      </c>
      <c r="R11" s="19">
        <v>3</v>
      </c>
      <c r="S11" s="20">
        <f t="shared" si="1"/>
        <v>1119</v>
      </c>
      <c r="T11" s="23"/>
      <c r="U11" s="20">
        <f t="shared" si="2"/>
        <v>0</v>
      </c>
      <c r="V11" s="19">
        <f t="shared" si="3"/>
        <v>416</v>
      </c>
      <c r="W11" s="20">
        <f t="shared" si="4"/>
        <v>10400</v>
      </c>
      <c r="X11" s="20"/>
      <c r="Y11" s="20">
        <f t="shared" si="5"/>
        <v>0</v>
      </c>
      <c r="Z11" s="24">
        <v>213</v>
      </c>
      <c r="AA11" s="24">
        <f t="shared" si="6"/>
        <v>18531</v>
      </c>
      <c r="AB11" s="25"/>
      <c r="AC11" s="26"/>
      <c r="AD11" s="20"/>
      <c r="AE11" s="78">
        <f t="shared" si="7"/>
        <v>0</v>
      </c>
      <c r="AF11" s="160">
        <f>Q11+E11+S11+U11+W11+AA11+AC11+AE11+Y11</f>
        <v>693319.34543261456</v>
      </c>
      <c r="AG11" s="161">
        <v>0</v>
      </c>
      <c r="AH11" s="161">
        <f t="shared" ref="AH11:AH21" si="16">AG11*$AH$9</f>
        <v>0</v>
      </c>
      <c r="AI11" s="161" t="e">
        <f>'2017'!#REF!</f>
        <v>#REF!</v>
      </c>
      <c r="AJ11" s="166" t="e">
        <f>'2017'!#REF!</f>
        <v>#REF!</v>
      </c>
      <c r="AK11" s="168">
        <f>'2017'!AB10</f>
        <v>0</v>
      </c>
      <c r="AL11" s="161">
        <f>'2017'!AD10</f>
        <v>0</v>
      </c>
      <c r="AM11" s="161">
        <f>'2017'!AE10</f>
        <v>0</v>
      </c>
      <c r="AN11" s="161">
        <f>'2017'!AF10</f>
        <v>0</v>
      </c>
      <c r="AO11" s="161">
        <f>'2017'!AG10</f>
        <v>0</v>
      </c>
      <c r="AP11" s="161">
        <f>'2017'!AH10</f>
        <v>0</v>
      </c>
      <c r="AQ11" s="161">
        <f>'2017'!AI10</f>
        <v>0</v>
      </c>
      <c r="AR11" s="161">
        <f>'2017'!AJ10</f>
        <v>0</v>
      </c>
      <c r="AS11" s="170">
        <f>'2017'!AM10</f>
        <v>780850.32978723408</v>
      </c>
      <c r="AT11" s="27">
        <f t="shared" si="8"/>
        <v>-711.84095312291083</v>
      </c>
      <c r="AU11" s="28"/>
      <c r="AW11" s="9"/>
      <c r="AX11" s="29"/>
      <c r="AY11" s="30"/>
      <c r="AZ11" s="16"/>
      <c r="BA11" s="9"/>
      <c r="BB11" s="16"/>
    </row>
    <row r="12" spans="1:54" ht="29.25" customHeight="1" x14ac:dyDescent="0.2">
      <c r="A12" s="92">
        <v>3</v>
      </c>
      <c r="B12" s="130" t="s">
        <v>17</v>
      </c>
      <c r="C12" s="82">
        <v>559</v>
      </c>
      <c r="D12" s="83">
        <f t="shared" si="9"/>
        <v>900549</v>
      </c>
      <c r="E12" s="83">
        <v>29000</v>
      </c>
      <c r="F12" s="84">
        <f t="shared" si="0"/>
        <v>853255.96920583467</v>
      </c>
      <c r="G12" s="85">
        <f t="shared" si="10"/>
        <v>882255.96920583467</v>
      </c>
      <c r="H12" s="83">
        <f t="shared" si="11"/>
        <v>882255.96920583467</v>
      </c>
      <c r="I12" s="116">
        <f t="shared" si="12"/>
        <v>844723.40951377631</v>
      </c>
      <c r="J12" s="129">
        <f t="shared" si="13"/>
        <v>8532.5596920583466</v>
      </c>
      <c r="K12" s="129">
        <f>C12*K8/1510</f>
        <v>1743.2285430463573</v>
      </c>
      <c r="L12" s="129"/>
      <c r="M12" s="129"/>
      <c r="N12" s="129"/>
      <c r="O12" s="129">
        <f>C12*O8/2478</f>
        <v>2562.166077966102</v>
      </c>
      <c r="P12" s="129">
        <f t="shared" si="14"/>
        <v>4305.3946210124595</v>
      </c>
      <c r="Q12" s="129">
        <f t="shared" si="15"/>
        <v>849028.80413478881</v>
      </c>
      <c r="R12" s="82">
        <v>15</v>
      </c>
      <c r="S12" s="83">
        <f t="shared" si="1"/>
        <v>5595</v>
      </c>
      <c r="T12" s="83"/>
      <c r="U12" s="83">
        <f t="shared" si="2"/>
        <v>0</v>
      </c>
      <c r="V12" s="82">
        <f t="shared" si="3"/>
        <v>559</v>
      </c>
      <c r="W12" s="83">
        <f t="shared" si="4"/>
        <v>13975</v>
      </c>
      <c r="X12" s="83">
        <v>1</v>
      </c>
      <c r="Y12" s="83">
        <f t="shared" si="5"/>
        <v>862</v>
      </c>
      <c r="Z12" s="87">
        <v>97</v>
      </c>
      <c r="AA12" s="87">
        <f t="shared" si="6"/>
        <v>8439</v>
      </c>
      <c r="AB12" s="93">
        <v>283</v>
      </c>
      <c r="AC12" s="83">
        <f t="shared" ref="AC12:AC18" si="17">AB12*$AC$9</f>
        <v>20376</v>
      </c>
      <c r="AD12" s="83">
        <v>348</v>
      </c>
      <c r="AE12" s="90">
        <f t="shared" si="7"/>
        <v>201840</v>
      </c>
      <c r="AF12" s="160">
        <f t="shared" ref="AF12:AF20" si="18">Q12+E12+S12+U12+W12+AA12+AC12+AE12+Y12</f>
        <v>1129115.8041347889</v>
      </c>
      <c r="AG12" s="83">
        <v>36</v>
      </c>
      <c r="AH12" s="83">
        <f t="shared" si="16"/>
        <v>11736</v>
      </c>
      <c r="AI12" s="83" t="e">
        <f>'2017'!#REF!</f>
        <v>#REF!</v>
      </c>
      <c r="AJ12" s="90" t="e">
        <f>'2017'!#REF!</f>
        <v>#REF!</v>
      </c>
      <c r="AK12" s="168">
        <f>'2017'!AB11</f>
        <v>93555</v>
      </c>
      <c r="AL12" s="161">
        <f>'2017'!AD11</f>
        <v>0</v>
      </c>
      <c r="AM12" s="161">
        <f>'2017'!AE11</f>
        <v>0</v>
      </c>
      <c r="AN12" s="161">
        <f>'2017'!AF11</f>
        <v>1</v>
      </c>
      <c r="AO12" s="161">
        <f>'2017'!AG11</f>
        <v>5000</v>
      </c>
      <c r="AP12" s="161">
        <f>'2017'!AH11</f>
        <v>0</v>
      </c>
      <c r="AQ12" s="161">
        <f>'2017'!AI11</f>
        <v>0</v>
      </c>
      <c r="AR12" s="161">
        <f>'2017'!AJ11</f>
        <v>5000</v>
      </c>
      <c r="AS12" s="170">
        <f>'2017'!AM11</f>
        <v>1333227.0531914893</v>
      </c>
      <c r="AT12" s="27">
        <f t="shared" si="8"/>
        <v>-4227.1650710458871</v>
      </c>
      <c r="AU12" s="28"/>
      <c r="AW12" s="9"/>
      <c r="AX12" s="29"/>
      <c r="AY12" s="30"/>
      <c r="AZ12" s="16"/>
      <c r="BA12" s="9"/>
      <c r="BB12" s="16"/>
    </row>
    <row r="13" spans="1:54" ht="25.5" customHeight="1" x14ac:dyDescent="0.2">
      <c r="A13" s="17">
        <v>4</v>
      </c>
      <c r="B13" s="131" t="s">
        <v>18</v>
      </c>
      <c r="C13" s="19">
        <v>428</v>
      </c>
      <c r="D13" s="20">
        <f t="shared" si="9"/>
        <v>689508</v>
      </c>
      <c r="E13" s="20">
        <v>29000</v>
      </c>
      <c r="F13" s="21">
        <f t="shared" si="0"/>
        <v>653297.95137763373</v>
      </c>
      <c r="G13" s="22">
        <f t="shared" si="10"/>
        <v>682297.95137763373</v>
      </c>
      <c r="H13" s="20">
        <f t="shared" si="11"/>
        <v>682297.95137763373</v>
      </c>
      <c r="I13" s="116">
        <f t="shared" si="12"/>
        <v>646764.97186385735</v>
      </c>
      <c r="J13" s="129">
        <f t="shared" si="13"/>
        <v>6532.9795137763376</v>
      </c>
      <c r="K13" s="129"/>
      <c r="L13" s="129">
        <f>C13*L8/1575</f>
        <v>3838.8746666666666</v>
      </c>
      <c r="M13" s="129"/>
      <c r="N13" s="129"/>
      <c r="O13" s="129">
        <f>C13*O8/2478</f>
        <v>1961.7300203389832</v>
      </c>
      <c r="P13" s="129">
        <f t="shared" si="14"/>
        <v>5800.6046870056498</v>
      </c>
      <c r="Q13" s="129">
        <f t="shared" si="15"/>
        <v>652565.57655086298</v>
      </c>
      <c r="R13" s="19"/>
      <c r="S13" s="20">
        <f t="shared" si="1"/>
        <v>0</v>
      </c>
      <c r="T13" s="20">
        <v>1</v>
      </c>
      <c r="U13" s="20">
        <f t="shared" si="2"/>
        <v>3070</v>
      </c>
      <c r="V13" s="19">
        <f t="shared" si="3"/>
        <v>428</v>
      </c>
      <c r="W13" s="20">
        <f t="shared" si="4"/>
        <v>10700</v>
      </c>
      <c r="X13" s="20"/>
      <c r="Y13" s="20">
        <f t="shared" si="5"/>
        <v>0</v>
      </c>
      <c r="Z13" s="24"/>
      <c r="AA13" s="24">
        <f t="shared" si="6"/>
        <v>0</v>
      </c>
      <c r="AB13" s="32">
        <v>229</v>
      </c>
      <c r="AC13" s="20">
        <f t="shared" si="17"/>
        <v>16488</v>
      </c>
      <c r="AD13" s="20">
        <v>246</v>
      </c>
      <c r="AE13" s="78">
        <f t="shared" si="7"/>
        <v>142680</v>
      </c>
      <c r="AF13" s="160">
        <f t="shared" si="18"/>
        <v>854503.57655086298</v>
      </c>
      <c r="AG13" s="161">
        <v>15</v>
      </c>
      <c r="AH13" s="161">
        <f t="shared" si="16"/>
        <v>4890</v>
      </c>
      <c r="AI13" s="161" t="e">
        <f>'2017'!#REF!</f>
        <v>#REF!</v>
      </c>
      <c r="AJ13" s="166" t="e">
        <f>'2017'!#REF!</f>
        <v>#REF!</v>
      </c>
      <c r="AK13" s="168">
        <f>'2017'!AB12</f>
        <v>42525</v>
      </c>
      <c r="AL13" s="161">
        <f>'2017'!AD12</f>
        <v>1</v>
      </c>
      <c r="AM13" s="161">
        <f>'2017'!AE12</f>
        <v>3000</v>
      </c>
      <c r="AN13" s="161">
        <f>'2017'!AF12</f>
        <v>0</v>
      </c>
      <c r="AO13" s="161">
        <f>'2017'!AG12</f>
        <v>0</v>
      </c>
      <c r="AP13" s="161">
        <f>'2017'!AH12</f>
        <v>0</v>
      </c>
      <c r="AQ13" s="161">
        <f>'2017'!AI12</f>
        <v>0</v>
      </c>
      <c r="AR13" s="161">
        <f>'2017'!AJ12</f>
        <v>3000</v>
      </c>
      <c r="AS13" s="170">
        <f>'2017'!AM12</f>
        <v>936926.02393617027</v>
      </c>
      <c r="AT13" s="27">
        <f t="shared" si="8"/>
        <v>-732.37482677068783</v>
      </c>
      <c r="AU13" s="28"/>
      <c r="AW13" s="16"/>
      <c r="AX13" s="16"/>
      <c r="AY13" s="30"/>
      <c r="AZ13" s="16"/>
      <c r="BA13" s="16"/>
      <c r="BB13" s="16"/>
    </row>
    <row r="14" spans="1:54" ht="33.950000000000003" customHeight="1" x14ac:dyDescent="0.2">
      <c r="A14" s="80">
        <v>5</v>
      </c>
      <c r="B14" s="132" t="s">
        <v>19</v>
      </c>
      <c r="C14" s="87">
        <v>444</v>
      </c>
      <c r="D14" s="83">
        <f t="shared" si="9"/>
        <v>715284</v>
      </c>
      <c r="E14" s="83">
        <v>29000</v>
      </c>
      <c r="F14" s="84">
        <f t="shared" si="0"/>
        <v>677720.30470016203</v>
      </c>
      <c r="G14" s="84">
        <f t="shared" si="10"/>
        <v>706720.30470016203</v>
      </c>
      <c r="H14" s="83">
        <f t="shared" si="11"/>
        <v>706720.30470016203</v>
      </c>
      <c r="I14" s="116">
        <f t="shared" si="12"/>
        <v>670943.10165316041</v>
      </c>
      <c r="J14" s="129">
        <f t="shared" si="13"/>
        <v>6777.2030470016207</v>
      </c>
      <c r="K14" s="129"/>
      <c r="L14" s="129">
        <f>C14*L8/1575</f>
        <v>3982.384</v>
      </c>
      <c r="M14" s="129"/>
      <c r="N14" s="129"/>
      <c r="O14" s="129">
        <f>C14*O8/2478</f>
        <v>2035.0657220338985</v>
      </c>
      <c r="P14" s="129">
        <f t="shared" si="14"/>
        <v>6017.4497220338981</v>
      </c>
      <c r="Q14" s="129">
        <f t="shared" si="15"/>
        <v>676960.55137519434</v>
      </c>
      <c r="R14" s="87"/>
      <c r="S14" s="88">
        <f t="shared" si="1"/>
        <v>0</v>
      </c>
      <c r="T14" s="88"/>
      <c r="U14" s="83">
        <f t="shared" si="2"/>
        <v>0</v>
      </c>
      <c r="V14" s="87">
        <f t="shared" si="3"/>
        <v>444</v>
      </c>
      <c r="W14" s="88">
        <f t="shared" si="4"/>
        <v>11100</v>
      </c>
      <c r="X14" s="88">
        <v>3</v>
      </c>
      <c r="Y14" s="83">
        <f t="shared" si="5"/>
        <v>2586</v>
      </c>
      <c r="Z14" s="95"/>
      <c r="AA14" s="87">
        <f t="shared" si="6"/>
        <v>0</v>
      </c>
      <c r="AB14" s="93">
        <v>258</v>
      </c>
      <c r="AC14" s="88">
        <f t="shared" si="17"/>
        <v>18576</v>
      </c>
      <c r="AD14" s="88">
        <v>335</v>
      </c>
      <c r="AE14" s="90">
        <f t="shared" si="7"/>
        <v>194300</v>
      </c>
      <c r="AF14" s="160">
        <f t="shared" si="18"/>
        <v>932522.55137519434</v>
      </c>
      <c r="AG14" s="83">
        <v>28</v>
      </c>
      <c r="AH14" s="83">
        <f t="shared" si="16"/>
        <v>9128</v>
      </c>
      <c r="AI14" s="83" t="e">
        <f>'2017'!#REF!</f>
        <v>#REF!</v>
      </c>
      <c r="AJ14" s="90" t="e">
        <f>'2017'!#REF!</f>
        <v>#REF!</v>
      </c>
      <c r="AK14" s="168">
        <f>'2017'!AB13</f>
        <v>70875</v>
      </c>
      <c r="AL14" s="161">
        <f>'2017'!AD13</f>
        <v>0</v>
      </c>
      <c r="AM14" s="161">
        <f>'2017'!AE13</f>
        <v>0</v>
      </c>
      <c r="AN14" s="161">
        <f>'2017'!AF13</f>
        <v>0</v>
      </c>
      <c r="AO14" s="161">
        <f>'2017'!AG13</f>
        <v>0</v>
      </c>
      <c r="AP14" s="161">
        <f>'2017'!AH13</f>
        <v>1</v>
      </c>
      <c r="AQ14" s="161">
        <f>'2017'!AI13</f>
        <v>6000</v>
      </c>
      <c r="AR14" s="161">
        <f>'2017'!AJ13</f>
        <v>6000</v>
      </c>
      <c r="AS14" s="170">
        <f>'2017'!AM13</f>
        <v>1010821.710106383</v>
      </c>
      <c r="AT14" s="27">
        <f t="shared" si="8"/>
        <v>-759.75332496772262</v>
      </c>
      <c r="AU14" s="28"/>
      <c r="AW14" s="9"/>
      <c r="AX14" s="9"/>
      <c r="AY14" s="9"/>
      <c r="AZ14" s="16"/>
      <c r="BA14" s="9"/>
      <c r="BB14" s="9"/>
    </row>
    <row r="15" spans="1:54" ht="25.5" customHeight="1" x14ac:dyDescent="0.2">
      <c r="A15" s="31">
        <v>6</v>
      </c>
      <c r="B15" s="131" t="s">
        <v>20</v>
      </c>
      <c r="C15" s="19">
        <v>631</v>
      </c>
      <c r="D15" s="20">
        <f t="shared" si="9"/>
        <v>1016541</v>
      </c>
      <c r="E15" s="20">
        <v>29000</v>
      </c>
      <c r="F15" s="21">
        <f t="shared" si="0"/>
        <v>963156.55915721226</v>
      </c>
      <c r="G15" s="22">
        <f t="shared" si="10"/>
        <v>992156.55915721226</v>
      </c>
      <c r="H15" s="20">
        <f t="shared" si="11"/>
        <v>992156.55915721226</v>
      </c>
      <c r="I15" s="116">
        <f t="shared" si="12"/>
        <v>953524.99356564018</v>
      </c>
      <c r="J15" s="129">
        <f t="shared" si="13"/>
        <v>9631.5655915721236</v>
      </c>
      <c r="K15" s="129">
        <f>C15*K8/1510</f>
        <v>1967.7588741721854</v>
      </c>
      <c r="L15" s="129"/>
      <c r="M15" s="129"/>
      <c r="N15" s="129"/>
      <c r="O15" s="129">
        <f>C15*O8/2478</f>
        <v>2892.1767355932207</v>
      </c>
      <c r="P15" s="129">
        <f t="shared" si="14"/>
        <v>4859.9356097654063</v>
      </c>
      <c r="Q15" s="129">
        <f t="shared" si="15"/>
        <v>958384.92917540553</v>
      </c>
      <c r="R15" s="19"/>
      <c r="S15" s="20">
        <f t="shared" si="1"/>
        <v>0</v>
      </c>
      <c r="T15" s="20"/>
      <c r="U15" s="20">
        <f t="shared" si="2"/>
        <v>0</v>
      </c>
      <c r="V15" s="19">
        <f t="shared" si="3"/>
        <v>631</v>
      </c>
      <c r="W15" s="20">
        <f t="shared" si="4"/>
        <v>15775</v>
      </c>
      <c r="X15" s="20"/>
      <c r="Y15" s="20">
        <f t="shared" si="5"/>
        <v>0</v>
      </c>
      <c r="Z15" s="33"/>
      <c r="AA15" s="24">
        <f t="shared" si="6"/>
        <v>0</v>
      </c>
      <c r="AB15" s="32">
        <v>414</v>
      </c>
      <c r="AC15" s="20">
        <f t="shared" si="17"/>
        <v>29808</v>
      </c>
      <c r="AD15" s="20">
        <v>505</v>
      </c>
      <c r="AE15" s="78">
        <f t="shared" si="7"/>
        <v>292900</v>
      </c>
      <c r="AF15" s="160">
        <f t="shared" si="18"/>
        <v>1325867.9291754055</v>
      </c>
      <c r="AG15" s="161">
        <v>25</v>
      </c>
      <c r="AH15" s="161">
        <f t="shared" si="16"/>
        <v>8150</v>
      </c>
      <c r="AI15" s="161" t="e">
        <f>'2017'!#REF!</f>
        <v>#REF!</v>
      </c>
      <c r="AJ15" s="166" t="e">
        <f>'2017'!#REF!</f>
        <v>#REF!</v>
      </c>
      <c r="AK15" s="168">
        <f>'2017'!AB14</f>
        <v>42525</v>
      </c>
      <c r="AL15" s="161">
        <f>'2017'!AD14</f>
        <v>0</v>
      </c>
      <c r="AM15" s="161">
        <f>'2017'!AE14</f>
        <v>0</v>
      </c>
      <c r="AN15" s="161">
        <f>'2017'!AF14</f>
        <v>0</v>
      </c>
      <c r="AO15" s="161">
        <f>'2017'!AG14</f>
        <v>0</v>
      </c>
      <c r="AP15" s="161">
        <f>'2017'!AH14</f>
        <v>1</v>
      </c>
      <c r="AQ15" s="161">
        <f>'2017'!AI14</f>
        <v>6000</v>
      </c>
      <c r="AR15" s="161">
        <f>'2017'!AJ14</f>
        <v>6000</v>
      </c>
      <c r="AS15" s="170">
        <f>'2017'!AM14</f>
        <v>1541230.9361702127</v>
      </c>
      <c r="AT15" s="27">
        <f t="shared" si="8"/>
        <v>-4771.6299818067173</v>
      </c>
      <c r="AU15" s="28"/>
      <c r="AW15" s="9"/>
      <c r="AX15" s="9"/>
      <c r="AY15" s="9"/>
      <c r="AZ15" s="16"/>
      <c r="BA15" s="9"/>
      <c r="BB15" s="9"/>
    </row>
    <row r="16" spans="1:54" ht="34.5" customHeight="1" x14ac:dyDescent="0.2">
      <c r="A16" s="80">
        <v>7</v>
      </c>
      <c r="B16" s="130" t="s">
        <v>21</v>
      </c>
      <c r="C16" s="82">
        <v>92</v>
      </c>
      <c r="D16" s="83">
        <f t="shared" si="9"/>
        <v>148212</v>
      </c>
      <c r="E16" s="83">
        <v>29000</v>
      </c>
      <c r="F16" s="84">
        <f t="shared" si="0"/>
        <v>140428.53160453809</v>
      </c>
      <c r="G16" s="85">
        <f t="shared" si="10"/>
        <v>169428.53160453809</v>
      </c>
      <c r="H16" s="83">
        <f t="shared" si="11"/>
        <v>169428.53160453809</v>
      </c>
      <c r="I16" s="116">
        <f t="shared" si="12"/>
        <v>139024.24628849272</v>
      </c>
      <c r="J16" s="129">
        <f t="shared" si="13"/>
        <v>1404.285316045381</v>
      </c>
      <c r="K16" s="129"/>
      <c r="L16" s="129">
        <f>C16*L8/1575</f>
        <v>825.17866666666657</v>
      </c>
      <c r="M16" s="129">
        <f>C16*M8/287</f>
        <v>4477.1578033170736</v>
      </c>
      <c r="N16" s="129"/>
      <c r="O16" s="129"/>
      <c r="P16" s="129">
        <f t="shared" si="14"/>
        <v>5302.3364699837402</v>
      </c>
      <c r="Q16" s="129">
        <f t="shared" si="15"/>
        <v>144326.58275847646</v>
      </c>
      <c r="R16" s="82">
        <v>26</v>
      </c>
      <c r="S16" s="83">
        <f t="shared" si="1"/>
        <v>9698</v>
      </c>
      <c r="T16" s="86"/>
      <c r="U16" s="83">
        <f t="shared" si="2"/>
        <v>0</v>
      </c>
      <c r="V16" s="82">
        <f t="shared" si="3"/>
        <v>92</v>
      </c>
      <c r="W16" s="83">
        <f t="shared" si="4"/>
        <v>2300</v>
      </c>
      <c r="X16" s="83"/>
      <c r="Y16" s="83">
        <f t="shared" si="5"/>
        <v>0</v>
      </c>
      <c r="Z16" s="95"/>
      <c r="AA16" s="87">
        <f t="shared" si="6"/>
        <v>0</v>
      </c>
      <c r="AB16" s="96">
        <v>48</v>
      </c>
      <c r="AC16" s="83">
        <f t="shared" si="17"/>
        <v>3456</v>
      </c>
      <c r="AD16" s="83">
        <v>52</v>
      </c>
      <c r="AE16" s="90">
        <f t="shared" si="7"/>
        <v>30160</v>
      </c>
      <c r="AF16" s="160">
        <f t="shared" si="18"/>
        <v>218940.58275847646</v>
      </c>
      <c r="AG16" s="83">
        <v>10</v>
      </c>
      <c r="AH16" s="83">
        <f t="shared" si="16"/>
        <v>3260</v>
      </c>
      <c r="AI16" s="83" t="e">
        <f>'2017'!#REF!</f>
        <v>#REF!</v>
      </c>
      <c r="AJ16" s="90" t="e">
        <f>'2017'!#REF!</f>
        <v>#REF!</v>
      </c>
      <c r="AK16" s="168">
        <f>'2017'!AB15</f>
        <v>14175</v>
      </c>
      <c r="AL16" s="161">
        <f>'2017'!AD15</f>
        <v>0</v>
      </c>
      <c r="AM16" s="161">
        <f>'2017'!AE15</f>
        <v>0</v>
      </c>
      <c r="AN16" s="161">
        <f>'2017'!AF15</f>
        <v>1</v>
      </c>
      <c r="AO16" s="161">
        <f>'2017'!AG15</f>
        <v>5000</v>
      </c>
      <c r="AP16" s="161">
        <f>'2017'!AH15</f>
        <v>0</v>
      </c>
      <c r="AQ16" s="161">
        <f>'2017'!AI15</f>
        <v>0</v>
      </c>
      <c r="AR16" s="161">
        <f>'2017'!AJ15</f>
        <v>5000</v>
      </c>
      <c r="AS16" s="170">
        <f>'2017'!AM15</f>
        <v>196296.27127659574</v>
      </c>
      <c r="AT16" s="27">
        <f t="shared" si="8"/>
        <v>3898.0511539383592</v>
      </c>
      <c r="AU16" s="28"/>
    </row>
    <row r="17" spans="1:47" ht="27" customHeight="1" x14ac:dyDescent="0.2">
      <c r="A17" s="17">
        <v>8</v>
      </c>
      <c r="B17" s="131" t="s">
        <v>22</v>
      </c>
      <c r="C17" s="19">
        <v>146</v>
      </c>
      <c r="D17" s="20">
        <f t="shared" si="9"/>
        <v>235206</v>
      </c>
      <c r="E17" s="20">
        <v>29000</v>
      </c>
      <c r="F17" s="21">
        <f t="shared" si="0"/>
        <v>222853.97406807131</v>
      </c>
      <c r="G17" s="22">
        <f t="shared" si="10"/>
        <v>251853.97406807131</v>
      </c>
      <c r="H17" s="20">
        <f t="shared" si="11"/>
        <v>251853.97406807131</v>
      </c>
      <c r="I17" s="116">
        <f t="shared" si="12"/>
        <v>220625.4343273906</v>
      </c>
      <c r="J17" s="129">
        <f t="shared" si="13"/>
        <v>2228.5397406807133</v>
      </c>
      <c r="K17" s="129"/>
      <c r="L17" s="129">
        <f>C17*L8/1575</f>
        <v>1309.5226666666667</v>
      </c>
      <c r="M17" s="129">
        <f>C17*M8/287</f>
        <v>7105.0547748292693</v>
      </c>
      <c r="N17" s="129"/>
      <c r="O17" s="129"/>
      <c r="P17" s="129">
        <f t="shared" si="14"/>
        <v>8414.577441495936</v>
      </c>
      <c r="Q17" s="129">
        <f t="shared" si="15"/>
        <v>229040.01176888653</v>
      </c>
      <c r="R17" s="19">
        <v>15</v>
      </c>
      <c r="S17" s="20">
        <f t="shared" si="1"/>
        <v>5595</v>
      </c>
      <c r="T17" s="23"/>
      <c r="U17" s="20">
        <f t="shared" si="2"/>
        <v>0</v>
      </c>
      <c r="V17" s="19">
        <f t="shared" si="3"/>
        <v>146</v>
      </c>
      <c r="W17" s="20">
        <f t="shared" si="4"/>
        <v>3650</v>
      </c>
      <c r="X17" s="20"/>
      <c r="Y17" s="20">
        <f t="shared" si="5"/>
        <v>0</v>
      </c>
      <c r="Z17" s="24"/>
      <c r="AA17" s="24">
        <f t="shared" si="6"/>
        <v>0</v>
      </c>
      <c r="AB17" s="32">
        <v>66</v>
      </c>
      <c r="AC17" s="20">
        <f t="shared" si="17"/>
        <v>4752</v>
      </c>
      <c r="AD17" s="20">
        <v>146</v>
      </c>
      <c r="AE17" s="78">
        <f t="shared" si="7"/>
        <v>84680</v>
      </c>
      <c r="AF17" s="160">
        <f t="shared" si="18"/>
        <v>356717.01176888653</v>
      </c>
      <c r="AG17" s="161">
        <v>0</v>
      </c>
      <c r="AH17" s="161">
        <f t="shared" si="16"/>
        <v>0</v>
      </c>
      <c r="AI17" s="161" t="e">
        <f>'2017'!#REF!</f>
        <v>#REF!</v>
      </c>
      <c r="AJ17" s="166" t="e">
        <f>'2017'!#REF!</f>
        <v>#REF!</v>
      </c>
      <c r="AK17" s="168">
        <f>'2017'!AB16</f>
        <v>359</v>
      </c>
      <c r="AL17" s="161">
        <f>'2017'!AD16</f>
        <v>0</v>
      </c>
      <c r="AM17" s="161">
        <f>'2017'!AE16</f>
        <v>0</v>
      </c>
      <c r="AN17" s="161">
        <f>'2017'!AF16</f>
        <v>1</v>
      </c>
      <c r="AO17" s="161">
        <f>'2017'!AG16</f>
        <v>5000</v>
      </c>
      <c r="AP17" s="161">
        <f>'2017'!AH16</f>
        <v>2</v>
      </c>
      <c r="AQ17" s="161">
        <f>'2017'!AI16</f>
        <v>12000</v>
      </c>
      <c r="AR17" s="161">
        <f>'2017'!AJ16</f>
        <v>17000</v>
      </c>
      <c r="AS17" s="170">
        <f>'2017'!AM16</f>
        <v>378630.77393617021</v>
      </c>
      <c r="AT17" s="27">
        <f t="shared" si="8"/>
        <v>6186.0377008152227</v>
      </c>
      <c r="AU17" s="28"/>
    </row>
    <row r="18" spans="1:47" ht="25.5" customHeight="1" x14ac:dyDescent="0.2">
      <c r="A18" s="92">
        <v>9</v>
      </c>
      <c r="B18" s="130" t="s">
        <v>23</v>
      </c>
      <c r="C18" s="82">
        <v>49</v>
      </c>
      <c r="D18" s="83">
        <f t="shared" si="9"/>
        <v>78939</v>
      </c>
      <c r="E18" s="83">
        <v>29000</v>
      </c>
      <c r="F18" s="84">
        <f t="shared" si="0"/>
        <v>74793.457050243116</v>
      </c>
      <c r="G18" s="85">
        <f t="shared" si="10"/>
        <v>103793.45705024312</v>
      </c>
      <c r="H18" s="83">
        <f t="shared" si="11"/>
        <v>103793.45705024312</v>
      </c>
      <c r="I18" s="116">
        <f t="shared" si="12"/>
        <v>74045.522479740685</v>
      </c>
      <c r="J18" s="129">
        <f t="shared" si="13"/>
        <v>747.93457050243114</v>
      </c>
      <c r="K18" s="129"/>
      <c r="L18" s="129">
        <f>C18*L8/1575</f>
        <v>439.4973333333333</v>
      </c>
      <c r="M18" s="129">
        <f>C18*M8/287</f>
        <v>2384.5731778536588</v>
      </c>
      <c r="N18" s="129"/>
      <c r="O18" s="129"/>
      <c r="P18" s="129">
        <f t="shared" si="14"/>
        <v>2824.070511186992</v>
      </c>
      <c r="Q18" s="129">
        <f t="shared" si="15"/>
        <v>76869.592990927675</v>
      </c>
      <c r="R18" s="82">
        <v>11</v>
      </c>
      <c r="S18" s="83">
        <f t="shared" si="1"/>
        <v>4103</v>
      </c>
      <c r="T18" s="86"/>
      <c r="U18" s="83">
        <f t="shared" si="2"/>
        <v>0</v>
      </c>
      <c r="V18" s="82">
        <f t="shared" si="3"/>
        <v>49</v>
      </c>
      <c r="W18" s="83">
        <f t="shared" si="4"/>
        <v>1225</v>
      </c>
      <c r="X18" s="83"/>
      <c r="Y18" s="83">
        <f t="shared" si="5"/>
        <v>0</v>
      </c>
      <c r="Z18" s="87"/>
      <c r="AA18" s="87">
        <f t="shared" si="6"/>
        <v>0</v>
      </c>
      <c r="AB18" s="93">
        <v>25</v>
      </c>
      <c r="AC18" s="83">
        <f t="shared" si="17"/>
        <v>1800</v>
      </c>
      <c r="AD18" s="83">
        <v>43</v>
      </c>
      <c r="AE18" s="90">
        <f t="shared" si="7"/>
        <v>24940</v>
      </c>
      <c r="AF18" s="160">
        <f t="shared" si="18"/>
        <v>137937.59299092769</v>
      </c>
      <c r="AG18" s="83">
        <v>9</v>
      </c>
      <c r="AH18" s="83">
        <f t="shared" si="16"/>
        <v>2934</v>
      </c>
      <c r="AI18" s="83" t="e">
        <f>'2017'!#REF!</f>
        <v>#REF!</v>
      </c>
      <c r="AJ18" s="90" t="e">
        <f>'2017'!#REF!</f>
        <v>#REF!</v>
      </c>
      <c r="AK18" s="168">
        <f>'2017'!AB17</f>
        <v>3231</v>
      </c>
      <c r="AL18" s="161">
        <f>'2017'!AD17</f>
        <v>0</v>
      </c>
      <c r="AM18" s="161">
        <f>'2017'!AE17</f>
        <v>0</v>
      </c>
      <c r="AN18" s="161">
        <f>'2017'!AF17</f>
        <v>0</v>
      </c>
      <c r="AO18" s="161">
        <f>'2017'!AG17</f>
        <v>0</v>
      </c>
      <c r="AP18" s="161">
        <f>'2017'!AH17</f>
        <v>0</v>
      </c>
      <c r="AQ18" s="161">
        <f>'2017'!AI17</f>
        <v>0</v>
      </c>
      <c r="AR18" s="161">
        <f>'2017'!AJ17</f>
        <v>0</v>
      </c>
      <c r="AS18" s="170">
        <f>'2017'!AM17</f>
        <v>142128.25531914894</v>
      </c>
      <c r="AT18" s="27">
        <f t="shared" si="8"/>
        <v>2076.1359406845609</v>
      </c>
      <c r="AU18" s="28"/>
    </row>
    <row r="19" spans="1:47" ht="18" customHeight="1" x14ac:dyDescent="0.2">
      <c r="A19" s="507" t="s">
        <v>24</v>
      </c>
      <c r="B19" s="508"/>
      <c r="C19" s="97">
        <f t="shared" ref="C19:H19" si="19">SUM(C10:C18)</f>
        <v>3085</v>
      </c>
      <c r="D19" s="98">
        <f t="shared" si="19"/>
        <v>4969935</v>
      </c>
      <c r="E19" s="98">
        <f>SUM(E10:E18)</f>
        <v>261000</v>
      </c>
      <c r="F19" s="99">
        <f t="shared" si="19"/>
        <v>4708935</v>
      </c>
      <c r="G19" s="100">
        <f t="shared" si="19"/>
        <v>4969935</v>
      </c>
      <c r="H19" s="98">
        <f t="shared" si="19"/>
        <v>4969935</v>
      </c>
      <c r="I19" s="98">
        <f t="shared" ref="I19:P19" si="20">SUM(I10:I18)</f>
        <v>4661845.6500000004</v>
      </c>
      <c r="J19" s="98">
        <f t="shared" si="20"/>
        <v>47089.349999999991</v>
      </c>
      <c r="K19" s="98">
        <f>SUM(K10:K18)</f>
        <v>4708.8999999999996</v>
      </c>
      <c r="L19" s="98">
        <f>SUM(L10:L18)</f>
        <v>14126.7</v>
      </c>
      <c r="M19" s="98">
        <f>SUM(M10:M18)</f>
        <v>13966.785756000003</v>
      </c>
      <c r="N19" s="98">
        <f t="shared" si="20"/>
        <v>2931.0077160000001</v>
      </c>
      <c r="O19" s="98">
        <f>SUM(O10:O18)</f>
        <v>11357.866800000002</v>
      </c>
      <c r="P19" s="98">
        <f t="shared" si="20"/>
        <v>47091.260272000007</v>
      </c>
      <c r="Q19" s="98">
        <f t="shared" si="15"/>
        <v>4708936.9102720004</v>
      </c>
      <c r="R19" s="97">
        <f>SUM(R10:R18)</f>
        <v>73</v>
      </c>
      <c r="S19" s="98">
        <f t="shared" ref="S19:AE19" si="21">SUM(S10:S18)</f>
        <v>27229</v>
      </c>
      <c r="T19" s="97">
        <f t="shared" si="21"/>
        <v>2</v>
      </c>
      <c r="U19" s="97">
        <f t="shared" si="21"/>
        <v>6140</v>
      </c>
      <c r="V19" s="98">
        <f t="shared" si="21"/>
        <v>3085</v>
      </c>
      <c r="W19" s="98">
        <f>SUM(W10:W18)</f>
        <v>77125</v>
      </c>
      <c r="X19" s="98">
        <f>SUM(X10:X18)</f>
        <v>4</v>
      </c>
      <c r="Y19" s="98">
        <f>SUM(Y10:Y18)</f>
        <v>3448</v>
      </c>
      <c r="Z19" s="101">
        <f>SUM(Z10:Z18)</f>
        <v>525</v>
      </c>
      <c r="AA19" s="101">
        <f t="shared" si="21"/>
        <v>45675</v>
      </c>
      <c r="AB19" s="101">
        <f t="shared" si="21"/>
        <v>1323</v>
      </c>
      <c r="AC19" s="98">
        <f t="shared" si="21"/>
        <v>95256</v>
      </c>
      <c r="AD19" s="98">
        <f t="shared" si="21"/>
        <v>1675</v>
      </c>
      <c r="AE19" s="102">
        <f t="shared" si="21"/>
        <v>971500</v>
      </c>
      <c r="AF19" s="160">
        <f>Q19+E19+S19+U19+W19+AA19+AC19+AE19+Y19</f>
        <v>6196309.9102720004</v>
      </c>
      <c r="AG19" s="97">
        <f>SUM(AG10:AG18)</f>
        <v>124</v>
      </c>
      <c r="AH19" s="162">
        <f>AG19*$AH$9</f>
        <v>40424</v>
      </c>
      <c r="AI19" s="162" t="e">
        <f>'2017'!#REF!</f>
        <v>#REF!</v>
      </c>
      <c r="AJ19" s="167" t="e">
        <f>'2017'!#REF!</f>
        <v>#REF!</v>
      </c>
      <c r="AK19" s="169">
        <f>'2017'!AB18</f>
        <v>267604</v>
      </c>
      <c r="AL19" s="192">
        <f>'2017'!AD18</f>
        <v>1</v>
      </c>
      <c r="AM19" s="192">
        <f>'2017'!AE18</f>
        <v>3000</v>
      </c>
      <c r="AN19" s="192">
        <f>'2017'!AF18</f>
        <v>3</v>
      </c>
      <c r="AO19" s="192">
        <f>'2017'!AG18</f>
        <v>15000</v>
      </c>
      <c r="AP19" s="192">
        <f>'2017'!AH18</f>
        <v>4</v>
      </c>
      <c r="AQ19" s="192">
        <f>'2017'!AI18</f>
        <v>24000</v>
      </c>
      <c r="AR19" s="192">
        <f>'2017'!AJ18</f>
        <v>42000</v>
      </c>
      <c r="AS19" s="171">
        <f>'2017'!AM18</f>
        <v>7134655.0000000009</v>
      </c>
      <c r="AT19" s="27">
        <f t="shared" si="8"/>
        <v>1.9102720000155387</v>
      </c>
      <c r="AU19" s="28"/>
    </row>
    <row r="20" spans="1:47" ht="16.5" customHeight="1" x14ac:dyDescent="0.2">
      <c r="A20" s="34">
        <v>10</v>
      </c>
      <c r="B20" s="35" t="s">
        <v>25</v>
      </c>
      <c r="C20" s="36">
        <v>71</v>
      </c>
      <c r="D20" s="20">
        <f t="shared" si="9"/>
        <v>114381</v>
      </c>
      <c r="E20" s="36"/>
      <c r="F20" s="150"/>
      <c r="G20" s="36"/>
      <c r="H20" s="36">
        <f>C20*D9</f>
        <v>114381</v>
      </c>
      <c r="I20" s="98"/>
      <c r="J20" s="98"/>
      <c r="K20" s="98"/>
      <c r="L20" s="98"/>
      <c r="M20" s="98"/>
      <c r="N20" s="98"/>
      <c r="O20" s="98"/>
      <c r="P20" s="98"/>
      <c r="Q20" s="98"/>
      <c r="R20" s="36">
        <v>25</v>
      </c>
      <c r="S20" s="20">
        <f>R20*$S$9</f>
        <v>9325</v>
      </c>
      <c r="T20" s="36">
        <v>-1</v>
      </c>
      <c r="U20" s="20">
        <f>T20*$U$9</f>
        <v>-3070</v>
      </c>
      <c r="V20" s="36">
        <v>71</v>
      </c>
      <c r="W20" s="20">
        <f>V20*$W$9</f>
        <v>1775</v>
      </c>
      <c r="X20" s="36">
        <v>1</v>
      </c>
      <c r="Y20" s="20">
        <f>X20*$Y$9</f>
        <v>862</v>
      </c>
      <c r="Z20" s="36">
        <v>-61</v>
      </c>
      <c r="AA20" s="24">
        <f>Z20*$AA$9</f>
        <v>-5307</v>
      </c>
      <c r="AB20" s="36">
        <v>-2</v>
      </c>
      <c r="AC20" s="20">
        <f>AB20*$AC$9</f>
        <v>-144</v>
      </c>
      <c r="AD20" s="36">
        <v>16</v>
      </c>
      <c r="AE20" s="78">
        <f>AD20*$AE$9</f>
        <v>9280</v>
      </c>
      <c r="AF20" s="160">
        <f t="shared" si="18"/>
        <v>12721</v>
      </c>
      <c r="AG20" s="36">
        <v>3</v>
      </c>
      <c r="AH20" s="161">
        <f t="shared" si="16"/>
        <v>978</v>
      </c>
      <c r="AI20" s="161" t="e">
        <f>'2017'!#REF!</f>
        <v>#REF!</v>
      </c>
      <c r="AJ20" s="166" t="e">
        <f>'2017'!#REF!</f>
        <v>#REF!</v>
      </c>
      <c r="AK20" s="173">
        <f>'2017'!AB19</f>
        <v>8257</v>
      </c>
      <c r="AL20" s="20">
        <f>'2017'!AD19</f>
        <v>0</v>
      </c>
      <c r="AM20" s="20">
        <f>'2017'!AE19</f>
        <v>0</v>
      </c>
      <c r="AN20" s="20">
        <f>'2017'!AF19</f>
        <v>0</v>
      </c>
      <c r="AO20" s="20">
        <f>'2017'!AG19</f>
        <v>0</v>
      </c>
      <c r="AP20" s="20">
        <f>'2017'!AH19</f>
        <v>-1</v>
      </c>
      <c r="AQ20" s="20">
        <f>'2017'!AI19</f>
        <v>-6000</v>
      </c>
      <c r="AR20" s="20">
        <f>'2017'!AJ19</f>
        <v>-6000</v>
      </c>
      <c r="AS20" s="164">
        <f>'2017'!AM19</f>
        <v>305853.99999999907</v>
      </c>
      <c r="AT20" s="27"/>
      <c r="AU20" s="37"/>
    </row>
    <row r="21" spans="1:47" ht="20.25" customHeight="1" thickBot="1" x14ac:dyDescent="0.25">
      <c r="A21" s="38"/>
      <c r="B21" s="39" t="s">
        <v>26</v>
      </c>
      <c r="C21" s="40">
        <f>C19+C20</f>
        <v>3156</v>
      </c>
      <c r="D21" s="40">
        <f>D19+D20</f>
        <v>5084316</v>
      </c>
      <c r="E21" s="41"/>
      <c r="F21" s="151">
        <v>4708935</v>
      </c>
      <c r="G21" s="42">
        <f t="shared" ref="G21:AE21" si="22">G19+G20</f>
        <v>4969935</v>
      </c>
      <c r="H21" s="41">
        <f t="shared" si="22"/>
        <v>5084316</v>
      </c>
      <c r="I21" s="98">
        <v>4661846</v>
      </c>
      <c r="J21" s="98">
        <v>47089</v>
      </c>
      <c r="K21" s="98"/>
      <c r="L21" s="98"/>
      <c r="M21" s="98"/>
      <c r="N21" s="98"/>
      <c r="O21" s="98"/>
      <c r="P21" s="98">
        <v>47090</v>
      </c>
      <c r="Q21" s="98">
        <f>SUM(I21,P21)</f>
        <v>4708936</v>
      </c>
      <c r="R21" s="41">
        <f t="shared" si="22"/>
        <v>98</v>
      </c>
      <c r="S21" s="41">
        <f t="shared" si="22"/>
        <v>36554</v>
      </c>
      <c r="T21" s="41">
        <f t="shared" si="22"/>
        <v>1</v>
      </c>
      <c r="U21" s="41">
        <f t="shared" si="22"/>
        <v>3070</v>
      </c>
      <c r="V21" s="41">
        <f t="shared" si="22"/>
        <v>3156</v>
      </c>
      <c r="W21" s="41">
        <f t="shared" si="22"/>
        <v>78900</v>
      </c>
      <c r="X21" s="41">
        <f t="shared" si="22"/>
        <v>5</v>
      </c>
      <c r="Y21" s="41">
        <f t="shared" si="22"/>
        <v>4310</v>
      </c>
      <c r="Z21" s="41">
        <f t="shared" si="22"/>
        <v>464</v>
      </c>
      <c r="AA21" s="41">
        <f t="shared" si="22"/>
        <v>40368</v>
      </c>
      <c r="AB21" s="41">
        <f t="shared" si="22"/>
        <v>1321</v>
      </c>
      <c r="AC21" s="41">
        <f t="shared" si="22"/>
        <v>95112</v>
      </c>
      <c r="AD21" s="41">
        <f t="shared" si="22"/>
        <v>1691</v>
      </c>
      <c r="AE21" s="43">
        <f t="shared" si="22"/>
        <v>980780</v>
      </c>
      <c r="AF21" s="160">
        <f>H21+S21+U21+W21+AA21+AC21+AE21+Y21</f>
        <v>6323410</v>
      </c>
      <c r="AG21" s="41">
        <v>127</v>
      </c>
      <c r="AH21" s="161">
        <f t="shared" si="16"/>
        <v>41402</v>
      </c>
      <c r="AI21" s="161" t="e">
        <f>'2017'!#REF!</f>
        <v>#REF!</v>
      </c>
      <c r="AJ21" s="166" t="e">
        <f>'2017'!#REF!</f>
        <v>#REF!</v>
      </c>
      <c r="AK21" s="191">
        <f>'2017'!AB20</f>
        <v>45593</v>
      </c>
      <c r="AL21" s="20">
        <f>'2017'!AD20</f>
        <v>1</v>
      </c>
      <c r="AM21" s="20">
        <f>'2017'!AE20</f>
        <v>3000</v>
      </c>
      <c r="AN21" s="20">
        <f>'2017'!AF20</f>
        <v>3</v>
      </c>
      <c r="AO21" s="20">
        <f>'2017'!AG20</f>
        <v>15000</v>
      </c>
      <c r="AP21" s="20">
        <f>'2017'!AH20</f>
        <v>3</v>
      </c>
      <c r="AQ21" s="20">
        <f>'2017'!AI20</f>
        <v>18000</v>
      </c>
      <c r="AR21" s="20">
        <f>'2017'!AJ20</f>
        <v>36000</v>
      </c>
      <c r="AS21" s="164">
        <f>'2017'!AM20</f>
        <v>7210241</v>
      </c>
      <c r="AT21" s="27"/>
      <c r="AU21" s="37"/>
    </row>
    <row r="22" spans="1:47" ht="12.75" customHeight="1" x14ac:dyDescent="0.2">
      <c r="A22" s="44"/>
      <c r="B22" s="44"/>
      <c r="C22" s="45"/>
      <c r="D22" s="45"/>
      <c r="E22" s="45"/>
      <c r="F22" s="46">
        <f>D19-E19</f>
        <v>4708935</v>
      </c>
      <c r="G22" s="27"/>
      <c r="H22" s="27"/>
      <c r="I22" s="27"/>
      <c r="J22" s="27"/>
      <c r="K22" s="27"/>
      <c r="L22" s="27"/>
      <c r="M22" s="27"/>
      <c r="N22" s="27"/>
      <c r="O22" s="27"/>
      <c r="P22" s="27"/>
      <c r="Q22" s="27"/>
      <c r="R22" s="47"/>
      <c r="S22" s="47"/>
      <c r="T22" s="47"/>
      <c r="U22" s="47"/>
      <c r="V22" s="47"/>
      <c r="W22" s="47"/>
      <c r="X22" s="47"/>
      <c r="Y22" s="47"/>
      <c r="Z22" s="45"/>
      <c r="AA22" s="45"/>
      <c r="AB22" s="27"/>
      <c r="AC22" s="47"/>
      <c r="AD22" s="47"/>
      <c r="AE22" s="47"/>
      <c r="AF22" s="124">
        <f>SUM(AF10:AF18)</f>
        <v>6196309.9102720004</v>
      </c>
      <c r="AG22" s="124"/>
      <c r="AH22" s="124"/>
      <c r="AI22" s="124"/>
      <c r="AJ22" s="124"/>
      <c r="AK22" s="124"/>
      <c r="AL22" s="124"/>
      <c r="AM22" s="124"/>
      <c r="AN22" s="124"/>
      <c r="AO22" s="124"/>
      <c r="AP22" s="124"/>
      <c r="AQ22" s="124"/>
      <c r="AR22" s="124"/>
      <c r="AS22" s="124"/>
      <c r="AT22" s="48"/>
      <c r="AU22" s="6"/>
    </row>
    <row r="23" spans="1:47" ht="15.75" customHeight="1" x14ac:dyDescent="0.25">
      <c r="A23" s="44"/>
      <c r="B23" s="49"/>
      <c r="C23" s="486" t="s">
        <v>27</v>
      </c>
      <c r="D23" s="486"/>
      <c r="E23" s="49"/>
      <c r="F23" s="49"/>
      <c r="G23" s="49"/>
      <c r="H23" s="49"/>
      <c r="I23" s="49"/>
      <c r="J23" s="114"/>
      <c r="K23" s="49"/>
      <c r="L23" s="112"/>
      <c r="M23" s="113"/>
      <c r="N23" s="113"/>
      <c r="O23" s="114"/>
      <c r="P23" s="114"/>
      <c r="Q23" s="114"/>
      <c r="R23" s="49"/>
      <c r="S23" s="50"/>
      <c r="T23" s="50"/>
      <c r="U23" s="490"/>
      <c r="V23" s="490"/>
      <c r="W23" s="490"/>
      <c r="X23" s="490"/>
      <c r="Y23" s="490"/>
      <c r="Z23" s="490"/>
      <c r="AA23" s="490"/>
      <c r="AB23" s="49"/>
      <c r="AC23" s="505" t="s">
        <v>28</v>
      </c>
      <c r="AD23" s="505"/>
      <c r="AE23" s="505"/>
      <c r="AF23" s="505"/>
      <c r="AG23" s="148"/>
      <c r="AH23" s="148"/>
      <c r="AI23" s="148"/>
      <c r="AJ23" s="148"/>
      <c r="AK23" s="148"/>
      <c r="AL23" s="148"/>
      <c r="AM23" s="148"/>
      <c r="AN23" s="148"/>
      <c r="AO23" s="148"/>
      <c r="AP23" s="148"/>
      <c r="AQ23" s="148"/>
      <c r="AR23" s="148"/>
      <c r="AS23" s="148"/>
    </row>
    <row r="24" spans="1:47" ht="15.75" customHeight="1" x14ac:dyDescent="0.25">
      <c r="A24" s="44"/>
      <c r="B24" s="49"/>
      <c r="C24" s="49"/>
      <c r="D24" s="143"/>
      <c r="E24" s="49"/>
      <c r="F24" s="49"/>
      <c r="G24" s="49"/>
      <c r="H24" s="49"/>
      <c r="I24" s="110"/>
      <c r="J24" s="49"/>
      <c r="K24" s="49"/>
      <c r="L24" s="111"/>
      <c r="M24" s="111"/>
      <c r="N24" s="111"/>
      <c r="O24" s="111"/>
      <c r="P24" s="111"/>
      <c r="Q24" s="111"/>
      <c r="R24" s="49"/>
      <c r="S24" s="50"/>
      <c r="T24" s="50"/>
      <c r="U24" s="50"/>
      <c r="V24" s="52"/>
      <c r="W24" s="49"/>
      <c r="X24" s="49"/>
      <c r="Y24" s="49"/>
      <c r="Z24" s="49"/>
      <c r="AA24" s="49"/>
      <c r="AB24" s="49"/>
      <c r="AC24" s="51"/>
      <c r="AD24" s="51"/>
      <c r="AE24" s="485"/>
      <c r="AF24" s="485"/>
      <c r="AG24" s="146"/>
      <c r="AH24" s="146"/>
      <c r="AI24" s="146"/>
      <c r="AJ24" s="146"/>
      <c r="AK24" s="146"/>
      <c r="AL24" s="146"/>
      <c r="AM24" s="146"/>
      <c r="AN24" s="146"/>
      <c r="AO24" s="146"/>
      <c r="AP24" s="146"/>
      <c r="AQ24" s="146"/>
      <c r="AR24" s="146"/>
      <c r="AS24" s="146"/>
    </row>
    <row r="25" spans="1:47" ht="7.5" customHeight="1" x14ac:dyDescent="0.2"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86"/>
      <c r="W25" s="486"/>
      <c r="X25" s="486"/>
      <c r="Y25" s="486"/>
      <c r="Z25" s="486"/>
      <c r="AA25" s="486"/>
      <c r="AB25" s="486"/>
      <c r="AC25" s="53"/>
      <c r="AD25" s="53"/>
      <c r="AE25" s="49"/>
      <c r="AF25" s="49"/>
      <c r="AG25" s="49"/>
      <c r="AH25" s="49"/>
      <c r="AI25" s="49"/>
      <c r="AJ25" s="49"/>
      <c r="AK25" s="49"/>
      <c r="AL25" s="49"/>
      <c r="AM25" s="49"/>
      <c r="AN25" s="49"/>
      <c r="AO25" s="49"/>
      <c r="AP25" s="49"/>
      <c r="AQ25" s="49"/>
      <c r="AR25" s="49"/>
      <c r="AS25" s="49"/>
    </row>
    <row r="26" spans="1:47" ht="27" customHeight="1" x14ac:dyDescent="0.25">
      <c r="B26" s="52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3"/>
      <c r="S26" s="53"/>
      <c r="T26" s="53"/>
      <c r="U26" s="53"/>
      <c r="V26" s="487"/>
      <c r="W26" s="487"/>
      <c r="X26" s="487"/>
      <c r="Y26" s="487"/>
      <c r="Z26" s="487"/>
      <c r="AA26" s="487"/>
      <c r="AB26" s="487"/>
      <c r="AC26" s="487"/>
      <c r="AD26" s="487"/>
      <c r="AE26" s="487"/>
      <c r="AF26" s="487"/>
      <c r="AG26" s="147"/>
      <c r="AH26" s="147"/>
      <c r="AI26" s="147"/>
      <c r="AJ26" s="147"/>
      <c r="AK26" s="147"/>
      <c r="AL26" s="147"/>
      <c r="AM26" s="147"/>
      <c r="AN26" s="147"/>
      <c r="AO26" s="147"/>
      <c r="AP26" s="147"/>
      <c r="AQ26" s="147"/>
      <c r="AR26" s="147"/>
      <c r="AS26" s="147"/>
    </row>
    <row r="27" spans="1:47" ht="20.25" customHeight="1" x14ac:dyDescent="0.25">
      <c r="A27" s="10"/>
      <c r="B27" s="54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142"/>
      <c r="N27" s="54"/>
      <c r="O27" s="54"/>
      <c r="P27" s="54"/>
      <c r="Q27" s="54"/>
      <c r="R27" s="55"/>
      <c r="S27" s="55"/>
      <c r="T27" s="55"/>
      <c r="U27" s="55"/>
      <c r="V27" s="56"/>
      <c r="W27" s="483"/>
      <c r="X27" s="483"/>
      <c r="Y27" s="483"/>
      <c r="Z27" s="483"/>
      <c r="AA27" s="483"/>
      <c r="AB27" s="483"/>
      <c r="AC27" s="483"/>
      <c r="AD27" s="483"/>
      <c r="AE27" s="483"/>
      <c r="AF27" s="483"/>
      <c r="AG27" s="144"/>
      <c r="AH27" s="144"/>
      <c r="AI27" s="144"/>
      <c r="AJ27" s="144"/>
      <c r="AK27" s="144"/>
      <c r="AL27" s="144"/>
      <c r="AM27" s="144"/>
      <c r="AN27" s="144"/>
      <c r="AO27" s="144"/>
      <c r="AP27" s="144"/>
      <c r="AQ27" s="144"/>
      <c r="AR27" s="144"/>
      <c r="AS27" s="144"/>
    </row>
    <row r="28" spans="1:47" ht="15.75" customHeight="1" x14ac:dyDescent="0.2">
      <c r="A28" s="10"/>
      <c r="B28" s="57"/>
      <c r="C28" s="58"/>
      <c r="D28" s="58"/>
      <c r="E28" s="58"/>
      <c r="F28" s="58"/>
      <c r="G28" s="58"/>
      <c r="H28" s="58"/>
      <c r="I28" s="58"/>
      <c r="J28" s="58"/>
      <c r="K28" s="58"/>
      <c r="L28" s="58"/>
      <c r="M28" s="58"/>
      <c r="N28" s="58"/>
      <c r="O28" s="58"/>
      <c r="P28" s="58"/>
      <c r="Q28" s="58"/>
      <c r="R28" s="55"/>
      <c r="S28" s="55"/>
      <c r="T28" s="55"/>
      <c r="U28" s="55"/>
      <c r="V28" s="55"/>
      <c r="W28" s="55"/>
      <c r="X28" s="55"/>
      <c r="Y28" s="55"/>
      <c r="Z28" s="55"/>
      <c r="AA28" s="55"/>
      <c r="AB28" s="484"/>
      <c r="AC28" s="484"/>
      <c r="AD28" s="484"/>
      <c r="AE28" s="484"/>
      <c r="AF28" s="484"/>
      <c r="AG28" s="145"/>
      <c r="AH28" s="145"/>
      <c r="AI28" s="145"/>
      <c r="AJ28" s="145"/>
      <c r="AK28" s="145"/>
      <c r="AL28" s="145"/>
      <c r="AM28" s="145"/>
      <c r="AN28" s="145"/>
      <c r="AO28" s="145"/>
      <c r="AP28" s="145"/>
      <c r="AQ28" s="145"/>
      <c r="AR28" s="145"/>
      <c r="AS28" s="145"/>
    </row>
    <row r="29" spans="1:47" x14ac:dyDescent="0.2">
      <c r="A29" s="10"/>
      <c r="B29" s="59"/>
      <c r="C29" s="60"/>
      <c r="D29" s="60"/>
      <c r="E29" s="60"/>
      <c r="F29" s="61"/>
      <c r="G29" s="62"/>
      <c r="H29" s="62"/>
      <c r="I29" s="62"/>
      <c r="J29" s="62"/>
      <c r="K29" s="62"/>
      <c r="L29" s="62"/>
      <c r="M29" s="62"/>
      <c r="N29" s="62"/>
      <c r="O29" s="62"/>
      <c r="P29" s="62"/>
      <c r="Q29" s="62"/>
      <c r="R29" s="63"/>
      <c r="S29" s="63"/>
      <c r="T29" s="63"/>
      <c r="U29" s="63"/>
      <c r="V29" s="63"/>
      <c r="W29" s="63"/>
      <c r="X29" s="63"/>
      <c r="Y29" s="63"/>
      <c r="Z29" s="63"/>
      <c r="AA29" s="63"/>
      <c r="AB29" s="63"/>
      <c r="AC29" s="63"/>
      <c r="AD29" s="63"/>
      <c r="AE29" s="63"/>
      <c r="AF29" s="63"/>
      <c r="AG29" s="63"/>
      <c r="AH29" s="63"/>
      <c r="AI29" s="63"/>
      <c r="AJ29" s="63"/>
      <c r="AK29" s="63"/>
      <c r="AL29" s="63"/>
      <c r="AM29" s="63"/>
      <c r="AN29" s="63"/>
      <c r="AO29" s="63"/>
      <c r="AP29" s="63"/>
      <c r="AQ29" s="63"/>
      <c r="AR29" s="63"/>
      <c r="AS29" s="63"/>
    </row>
    <row r="30" spans="1:47" x14ac:dyDescent="0.2">
      <c r="A30" s="64"/>
      <c r="B30" s="59"/>
      <c r="C30" s="60"/>
      <c r="D30" s="60"/>
      <c r="E30" s="60"/>
      <c r="F30" s="60"/>
      <c r="G30" s="60"/>
      <c r="H30" s="60"/>
      <c r="I30" s="60"/>
      <c r="J30" s="60"/>
      <c r="K30" s="60"/>
      <c r="L30" s="60"/>
      <c r="M30" s="60"/>
      <c r="N30" s="60"/>
      <c r="O30" s="60"/>
      <c r="P30" s="60"/>
      <c r="Q30" s="60"/>
      <c r="R30" s="63"/>
      <c r="S30" s="63"/>
      <c r="T30" s="63"/>
      <c r="U30" s="63"/>
      <c r="V30" s="63"/>
      <c r="W30" s="63"/>
      <c r="X30" s="63"/>
      <c r="Y30" s="63"/>
      <c r="Z30" s="63"/>
      <c r="AA30" s="63"/>
      <c r="AB30" s="63"/>
      <c r="AC30" s="63"/>
      <c r="AD30" s="63"/>
      <c r="AE30" s="63"/>
      <c r="AF30" s="63"/>
      <c r="AG30" s="63"/>
      <c r="AH30" s="63"/>
      <c r="AI30" s="63"/>
      <c r="AJ30" s="63"/>
      <c r="AK30" s="63"/>
      <c r="AL30" s="63"/>
      <c r="AM30" s="63"/>
      <c r="AN30" s="63"/>
      <c r="AO30" s="63"/>
      <c r="AP30" s="63"/>
      <c r="AQ30" s="63"/>
      <c r="AR30" s="63"/>
      <c r="AS30" s="63"/>
    </row>
    <row r="31" spans="1:47" x14ac:dyDescent="0.2">
      <c r="A31" s="65"/>
      <c r="B31" s="59"/>
      <c r="C31" s="66"/>
      <c r="D31" s="60"/>
      <c r="E31" s="60"/>
      <c r="F31" s="66"/>
      <c r="G31" s="66"/>
      <c r="H31" s="66"/>
      <c r="I31" s="66"/>
      <c r="J31" s="66"/>
      <c r="K31" s="66"/>
      <c r="L31" s="66"/>
      <c r="M31" s="66"/>
      <c r="N31" s="66"/>
      <c r="O31" s="66"/>
      <c r="P31" s="66"/>
      <c r="Q31" s="66"/>
      <c r="R31" s="63"/>
      <c r="S31" s="63"/>
      <c r="T31" s="63"/>
      <c r="U31" s="63"/>
      <c r="V31" s="63"/>
      <c r="W31" s="63"/>
      <c r="X31" s="63"/>
      <c r="Y31" s="63"/>
      <c r="Z31" s="63"/>
      <c r="AA31" s="63"/>
      <c r="AB31" s="63"/>
      <c r="AC31" s="63"/>
      <c r="AD31" s="63"/>
      <c r="AE31" s="63"/>
      <c r="AF31" s="63"/>
      <c r="AG31" s="63"/>
      <c r="AH31" s="63"/>
      <c r="AI31" s="63"/>
      <c r="AJ31" s="63"/>
      <c r="AK31" s="63"/>
      <c r="AL31" s="63"/>
      <c r="AM31" s="63"/>
      <c r="AN31" s="63"/>
      <c r="AO31" s="63"/>
      <c r="AP31" s="63"/>
      <c r="AQ31" s="63"/>
      <c r="AR31" s="63"/>
      <c r="AS31" s="63"/>
    </row>
    <row r="32" spans="1:47" x14ac:dyDescent="0.2">
      <c r="A32" s="65"/>
      <c r="B32" s="67"/>
      <c r="C32" s="48"/>
      <c r="D32" s="48"/>
      <c r="E32" s="48"/>
      <c r="F32" s="9"/>
      <c r="G32" s="68"/>
      <c r="H32" s="68"/>
      <c r="I32" s="68"/>
      <c r="J32" s="68"/>
      <c r="K32" s="68"/>
      <c r="L32" s="68"/>
      <c r="M32" s="68"/>
      <c r="N32" s="68"/>
      <c r="O32" s="68"/>
      <c r="P32" s="68"/>
      <c r="Q32" s="68"/>
    </row>
    <row r="33" spans="1:18" x14ac:dyDescent="0.2">
      <c r="A33" s="64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</row>
    <row r="34" spans="1:18" x14ac:dyDescent="0.2">
      <c r="A34" s="65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</row>
    <row r="35" spans="1:18" x14ac:dyDescent="0.2">
      <c r="A35" s="65"/>
      <c r="B35" s="6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</row>
    <row r="36" spans="1:18" x14ac:dyDescent="0.2">
      <c r="A36" s="64"/>
      <c r="B36" s="6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</row>
    <row r="37" spans="1:18" x14ac:dyDescent="0.2">
      <c r="A37" s="65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</row>
    <row r="38" spans="1:18" x14ac:dyDescent="0.2">
      <c r="A38" s="65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</row>
    <row r="39" spans="1:18" x14ac:dyDescent="0.2">
      <c r="A39" s="64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</row>
    <row r="40" spans="1:18" x14ac:dyDescent="0.2">
      <c r="A40" s="65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</row>
    <row r="41" spans="1:18" x14ac:dyDescent="0.2">
      <c r="A41" s="44"/>
      <c r="B41" s="44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</row>
    <row r="42" spans="1:18" x14ac:dyDescent="0.2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</row>
    <row r="43" spans="1:18" x14ac:dyDescent="0.2">
      <c r="A43" s="70"/>
      <c r="B43" s="70"/>
      <c r="C43" s="70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  <c r="R43" s="48"/>
    </row>
    <row r="44" spans="1:18" ht="6.75" customHeight="1" x14ac:dyDescent="0.2">
      <c r="A44" s="48"/>
      <c r="B44" s="48"/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48"/>
      <c r="P44" s="48"/>
      <c r="Q44" s="48"/>
      <c r="R44" s="48"/>
    </row>
    <row r="45" spans="1:18" ht="5.25" customHeight="1" x14ac:dyDescent="0.2">
      <c r="A45" s="48"/>
      <c r="B45" s="48"/>
      <c r="C45" s="48"/>
      <c r="D45" s="48"/>
      <c r="E45" s="48"/>
      <c r="F45" s="48"/>
      <c r="G45" s="48"/>
      <c r="H45" s="48"/>
      <c r="I45" s="48"/>
      <c r="J45" s="48"/>
      <c r="K45" s="48"/>
      <c r="L45" s="48"/>
      <c r="M45" s="48"/>
      <c r="N45" s="48"/>
      <c r="O45" s="48"/>
      <c r="P45" s="48"/>
      <c r="Q45" s="48"/>
      <c r="R45" s="48"/>
    </row>
    <row r="46" spans="1:18" x14ac:dyDescent="0.2">
      <c r="A46" s="68"/>
      <c r="B46" s="68"/>
      <c r="C46" s="68"/>
      <c r="D46" s="68"/>
      <c r="E46" s="68"/>
      <c r="F46" s="68"/>
      <c r="G46" s="68"/>
      <c r="H46" s="68"/>
      <c r="I46" s="68"/>
      <c r="J46" s="68"/>
      <c r="K46" s="68"/>
      <c r="L46" s="68"/>
      <c r="M46" s="68"/>
      <c r="N46" s="68"/>
      <c r="O46" s="68"/>
      <c r="P46" s="68"/>
      <c r="Q46" s="68"/>
      <c r="R46" s="48"/>
    </row>
    <row r="47" spans="1:18" x14ac:dyDescent="0.2">
      <c r="A47" s="68"/>
      <c r="B47" s="68"/>
      <c r="C47" s="68"/>
      <c r="D47" s="68"/>
      <c r="E47" s="68"/>
      <c r="F47" s="68"/>
      <c r="G47" s="68"/>
      <c r="H47" s="68"/>
      <c r="I47" s="68"/>
      <c r="J47" s="68"/>
      <c r="K47" s="68"/>
      <c r="L47" s="68"/>
      <c r="M47" s="68"/>
      <c r="N47" s="68"/>
      <c r="O47" s="68"/>
      <c r="P47" s="68"/>
      <c r="Q47" s="68"/>
      <c r="R47" s="48"/>
    </row>
    <row r="48" spans="1:18" x14ac:dyDescent="0.2">
      <c r="A48" s="68"/>
      <c r="B48" s="68"/>
      <c r="C48" s="48"/>
      <c r="D48" s="48"/>
      <c r="E48" s="48"/>
      <c r="F48" s="71"/>
      <c r="G48" s="68"/>
      <c r="H48" s="68"/>
      <c r="I48" s="68"/>
      <c r="J48" s="68"/>
      <c r="K48" s="68"/>
      <c r="L48" s="68"/>
      <c r="M48" s="68"/>
      <c r="N48" s="68"/>
      <c r="O48" s="68"/>
      <c r="P48" s="68"/>
      <c r="Q48" s="68"/>
      <c r="R48" s="48"/>
    </row>
    <row r="49" spans="1:18" x14ac:dyDescent="0.2">
      <c r="A49" s="72"/>
      <c r="B49" s="48"/>
      <c r="C49" s="48"/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48"/>
      <c r="P49" s="48"/>
      <c r="Q49" s="48"/>
      <c r="R49" s="48"/>
    </row>
    <row r="50" spans="1:18" x14ac:dyDescent="0.2">
      <c r="A50" s="73"/>
      <c r="B50" s="74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48"/>
      <c r="P50" s="48"/>
      <c r="Q50" s="48"/>
      <c r="R50" s="48"/>
    </row>
    <row r="51" spans="1:18" x14ac:dyDescent="0.2">
      <c r="A51" s="73"/>
      <c r="B51" s="74"/>
      <c r="C51" s="48"/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  <c r="O51" s="48"/>
      <c r="P51" s="48"/>
      <c r="Q51" s="48"/>
      <c r="R51" s="48"/>
    </row>
    <row r="52" spans="1:18" x14ac:dyDescent="0.2">
      <c r="A52" s="72"/>
      <c r="B52" s="48"/>
      <c r="C52" s="48"/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48"/>
      <c r="P52" s="48"/>
      <c r="Q52" s="48"/>
      <c r="R52" s="48"/>
    </row>
    <row r="53" spans="1:18" x14ac:dyDescent="0.2">
      <c r="A53" s="72"/>
      <c r="B53" s="48"/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48"/>
      <c r="P53" s="48"/>
      <c r="Q53" s="48"/>
      <c r="R53" s="48"/>
    </row>
    <row r="54" spans="1:18" x14ac:dyDescent="0.2">
      <c r="A54" s="73"/>
      <c r="B54" s="74"/>
      <c r="C54" s="48"/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48"/>
      <c r="P54" s="48"/>
      <c r="Q54" s="48"/>
      <c r="R54" s="48"/>
    </row>
    <row r="55" spans="1:18" x14ac:dyDescent="0.2">
      <c r="A55" s="73"/>
      <c r="B55" s="74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48"/>
      <c r="P55" s="48"/>
      <c r="Q55" s="48"/>
      <c r="R55" s="48"/>
    </row>
    <row r="56" spans="1:18" x14ac:dyDescent="0.2">
      <c r="A56" s="72"/>
      <c r="B56" s="48"/>
      <c r="C56" s="48"/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  <c r="O56" s="48"/>
      <c r="P56" s="48"/>
      <c r="Q56" s="48"/>
      <c r="R56" s="48"/>
    </row>
    <row r="57" spans="1:18" x14ac:dyDescent="0.2">
      <c r="A57" s="72"/>
      <c r="B57" s="48"/>
      <c r="C57" s="48"/>
      <c r="D57" s="48"/>
      <c r="E57" s="48"/>
      <c r="F57" s="48"/>
      <c r="G57" s="48"/>
      <c r="H57" s="48"/>
      <c r="I57" s="48"/>
      <c r="J57" s="48"/>
      <c r="K57" s="48"/>
      <c r="L57" s="48"/>
      <c r="M57" s="48"/>
      <c r="N57" s="48"/>
      <c r="O57" s="48"/>
      <c r="P57" s="48"/>
      <c r="Q57" s="48"/>
      <c r="R57" s="48"/>
    </row>
    <row r="58" spans="1:18" x14ac:dyDescent="0.2">
      <c r="A58" s="73"/>
      <c r="B58" s="48"/>
      <c r="C58" s="48"/>
      <c r="D58" s="48"/>
      <c r="E58" s="48"/>
      <c r="F58" s="48"/>
      <c r="G58" s="48"/>
      <c r="H58" s="48"/>
      <c r="I58" s="48"/>
      <c r="J58" s="48"/>
      <c r="K58" s="48"/>
      <c r="L58" s="48"/>
      <c r="M58" s="48"/>
      <c r="N58" s="48"/>
      <c r="O58" s="48"/>
      <c r="P58" s="48"/>
      <c r="Q58" s="48"/>
      <c r="R58" s="48"/>
    </row>
    <row r="59" spans="1:18" x14ac:dyDescent="0.2">
      <c r="A59" s="73"/>
      <c r="B59" s="48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48"/>
      <c r="R59" s="48"/>
    </row>
    <row r="60" spans="1:18" x14ac:dyDescent="0.2">
      <c r="A60" s="72"/>
      <c r="B60" s="48"/>
      <c r="C60" s="48"/>
      <c r="D60" s="48"/>
      <c r="E60" s="48"/>
      <c r="F60" s="48"/>
      <c r="G60" s="48"/>
      <c r="H60" s="48"/>
      <c r="I60" s="48"/>
      <c r="J60" s="48"/>
      <c r="K60" s="48"/>
      <c r="L60" s="48"/>
      <c r="M60" s="48"/>
      <c r="N60" s="48"/>
      <c r="O60" s="48"/>
      <c r="P60" s="48"/>
      <c r="Q60" s="48"/>
      <c r="R60" s="48"/>
    </row>
    <row r="61" spans="1:18" x14ac:dyDescent="0.2">
      <c r="A61" s="72"/>
      <c r="B61" s="48"/>
      <c r="C61" s="48"/>
      <c r="D61" s="48"/>
      <c r="E61" s="48"/>
      <c r="F61" s="48"/>
      <c r="G61" s="48"/>
      <c r="H61" s="48"/>
      <c r="I61" s="48"/>
      <c r="J61" s="48"/>
      <c r="K61" s="48"/>
      <c r="L61" s="48"/>
      <c r="M61" s="48"/>
      <c r="N61" s="48"/>
      <c r="O61" s="48"/>
      <c r="P61" s="48"/>
      <c r="Q61" s="48"/>
      <c r="R61" s="48"/>
    </row>
    <row r="62" spans="1:18" x14ac:dyDescent="0.2">
      <c r="A62" s="73"/>
      <c r="B62" s="48"/>
      <c r="C62" s="48"/>
      <c r="D62" s="48"/>
      <c r="E62" s="48"/>
      <c r="F62" s="48"/>
      <c r="G62" s="48"/>
      <c r="H62" s="48"/>
      <c r="I62" s="48"/>
      <c r="J62" s="48"/>
      <c r="K62" s="48"/>
      <c r="L62" s="48"/>
      <c r="M62" s="48"/>
      <c r="N62" s="48"/>
      <c r="O62" s="48"/>
      <c r="P62" s="48"/>
      <c r="Q62" s="48"/>
      <c r="R62" s="48"/>
    </row>
    <row r="63" spans="1:18" x14ac:dyDescent="0.2">
      <c r="A63" s="73"/>
      <c r="B63" s="48"/>
      <c r="C63" s="48"/>
      <c r="D63" s="48"/>
      <c r="E63" s="48"/>
      <c r="F63" s="48"/>
      <c r="G63" s="48"/>
      <c r="H63" s="48"/>
      <c r="I63" s="48"/>
      <c r="J63" s="48"/>
      <c r="K63" s="48"/>
      <c r="L63" s="48"/>
      <c r="M63" s="48"/>
      <c r="N63" s="48"/>
      <c r="O63" s="48"/>
      <c r="P63" s="48"/>
      <c r="Q63" s="48"/>
      <c r="R63" s="48"/>
    </row>
    <row r="64" spans="1:18" x14ac:dyDescent="0.2">
      <c r="A64" s="75"/>
      <c r="B64" s="7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5"/>
      <c r="R64" s="48"/>
    </row>
    <row r="65" spans="1:18" ht="6.75" customHeight="1" x14ac:dyDescent="0.2">
      <c r="A65" s="48"/>
      <c r="B65" s="48"/>
      <c r="C65" s="48"/>
      <c r="D65" s="48"/>
      <c r="E65" s="48"/>
      <c r="F65" s="48"/>
      <c r="G65" s="48"/>
      <c r="H65" s="48"/>
      <c r="I65" s="48"/>
      <c r="J65" s="48"/>
      <c r="K65" s="48"/>
      <c r="L65" s="48"/>
      <c r="M65" s="48"/>
      <c r="N65" s="48"/>
      <c r="O65" s="48"/>
      <c r="P65" s="48"/>
      <c r="Q65" s="48"/>
      <c r="R65" s="48"/>
    </row>
    <row r="66" spans="1:18" x14ac:dyDescent="0.2">
      <c r="A66" s="70"/>
      <c r="B66" s="70"/>
      <c r="C66" s="70"/>
      <c r="D66" s="48"/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48"/>
      <c r="P66" s="48"/>
      <c r="Q66" s="48"/>
      <c r="R66" s="48"/>
    </row>
    <row r="67" spans="1:18" x14ac:dyDescent="0.2">
      <c r="A67" s="48"/>
      <c r="B67" s="48"/>
      <c r="C67" s="48"/>
      <c r="D67" s="48"/>
      <c r="E67" s="48"/>
      <c r="F67" s="48"/>
      <c r="G67" s="48"/>
      <c r="H67" s="48"/>
      <c r="I67" s="48"/>
      <c r="J67" s="48"/>
      <c r="K67" s="48"/>
      <c r="L67" s="48"/>
      <c r="M67" s="48"/>
      <c r="N67" s="48"/>
      <c r="O67" s="48"/>
      <c r="P67" s="48"/>
      <c r="Q67" s="48"/>
      <c r="R67" s="48"/>
    </row>
    <row r="68" spans="1:18" x14ac:dyDescent="0.2">
      <c r="A68" s="68"/>
      <c r="B68" s="68"/>
      <c r="C68" s="68"/>
      <c r="D68" s="68"/>
      <c r="E68" s="68"/>
      <c r="F68" s="68"/>
      <c r="G68" s="68"/>
      <c r="H68" s="68"/>
      <c r="I68" s="68"/>
      <c r="J68" s="68"/>
      <c r="K68" s="68"/>
      <c r="L68" s="68"/>
      <c r="M68" s="68"/>
      <c r="N68" s="68"/>
      <c r="O68" s="68"/>
      <c r="P68" s="68"/>
      <c r="Q68" s="68"/>
      <c r="R68" s="48"/>
    </row>
    <row r="69" spans="1:18" x14ac:dyDescent="0.2">
      <c r="A69" s="68"/>
      <c r="B69" s="68"/>
      <c r="C69" s="68"/>
      <c r="D69" s="68"/>
      <c r="E69" s="68"/>
      <c r="F69" s="68"/>
      <c r="G69" s="68"/>
      <c r="H69" s="68"/>
      <c r="I69" s="68"/>
      <c r="J69" s="68"/>
      <c r="K69" s="68"/>
      <c r="L69" s="68"/>
      <c r="M69" s="68"/>
      <c r="N69" s="68"/>
      <c r="O69" s="68"/>
      <c r="P69" s="68"/>
      <c r="Q69" s="68"/>
      <c r="R69" s="48"/>
    </row>
    <row r="70" spans="1:18" x14ac:dyDescent="0.2">
      <c r="A70" s="68"/>
      <c r="B70" s="68"/>
      <c r="C70" s="48"/>
      <c r="D70" s="48"/>
      <c r="E70" s="48"/>
      <c r="F70" s="71"/>
      <c r="G70" s="68"/>
      <c r="H70" s="68"/>
      <c r="I70" s="68"/>
      <c r="J70" s="68"/>
      <c r="K70" s="68"/>
      <c r="L70" s="68"/>
      <c r="M70" s="68"/>
      <c r="N70" s="68"/>
      <c r="O70" s="68"/>
      <c r="P70" s="68"/>
      <c r="Q70" s="68"/>
      <c r="R70" s="48"/>
    </row>
    <row r="71" spans="1:18" x14ac:dyDescent="0.2">
      <c r="A71" s="72"/>
      <c r="B71" s="48"/>
      <c r="C71" s="48"/>
      <c r="D71" s="48"/>
      <c r="E71" s="48"/>
      <c r="F71" s="48"/>
      <c r="G71" s="48"/>
      <c r="H71" s="48"/>
      <c r="I71" s="48"/>
      <c r="J71" s="48"/>
      <c r="K71" s="48"/>
      <c r="L71" s="48"/>
      <c r="M71" s="48"/>
      <c r="N71" s="48"/>
      <c r="O71" s="48"/>
      <c r="P71" s="48"/>
      <c r="Q71" s="48"/>
      <c r="R71" s="48"/>
    </row>
    <row r="72" spans="1:18" x14ac:dyDescent="0.2">
      <c r="A72" s="73"/>
      <c r="B72" s="74"/>
      <c r="C72" s="48"/>
      <c r="D72" s="48"/>
      <c r="E72" s="48"/>
      <c r="F72" s="48"/>
      <c r="G72" s="48"/>
      <c r="H72" s="48"/>
      <c r="I72" s="48"/>
      <c r="J72" s="48"/>
      <c r="K72" s="48"/>
      <c r="L72" s="48"/>
      <c r="M72" s="48"/>
      <c r="N72" s="48"/>
      <c r="O72" s="48"/>
      <c r="P72" s="48"/>
      <c r="Q72" s="48"/>
      <c r="R72" s="48"/>
    </row>
    <row r="73" spans="1:18" x14ac:dyDescent="0.2">
      <c r="A73" s="73"/>
      <c r="B73" s="74"/>
      <c r="C73" s="48"/>
      <c r="D73" s="48"/>
      <c r="E73" s="48"/>
      <c r="F73" s="48"/>
      <c r="G73" s="48"/>
      <c r="H73" s="48"/>
      <c r="I73" s="48"/>
      <c r="J73" s="48"/>
      <c r="K73" s="48"/>
      <c r="L73" s="48"/>
      <c r="M73" s="48"/>
      <c r="N73" s="48"/>
      <c r="O73" s="48"/>
      <c r="P73" s="48"/>
      <c r="Q73" s="48"/>
      <c r="R73" s="48"/>
    </row>
    <row r="74" spans="1:18" x14ac:dyDescent="0.2">
      <c r="A74" s="72"/>
      <c r="B74" s="48"/>
      <c r="C74" s="48"/>
      <c r="D74" s="48"/>
      <c r="E74" s="48"/>
      <c r="F74" s="48"/>
      <c r="G74" s="48"/>
      <c r="H74" s="48"/>
      <c r="I74" s="48"/>
      <c r="J74" s="48"/>
      <c r="K74" s="48"/>
      <c r="L74" s="48"/>
      <c r="M74" s="48"/>
      <c r="N74" s="48"/>
      <c r="O74" s="48"/>
      <c r="P74" s="48"/>
      <c r="Q74" s="48"/>
      <c r="R74" s="48"/>
    </row>
    <row r="75" spans="1:18" x14ac:dyDescent="0.2">
      <c r="A75" s="72"/>
      <c r="B75" s="48"/>
      <c r="C75" s="48"/>
      <c r="D75" s="48"/>
      <c r="E75" s="48"/>
      <c r="F75" s="48"/>
      <c r="G75" s="48"/>
      <c r="H75" s="48"/>
      <c r="I75" s="48"/>
      <c r="J75" s="48"/>
      <c r="K75" s="48"/>
      <c r="L75" s="48"/>
      <c r="M75" s="48"/>
      <c r="N75" s="48"/>
      <c r="O75" s="48"/>
      <c r="P75" s="48"/>
      <c r="Q75" s="48"/>
      <c r="R75" s="48"/>
    </row>
    <row r="76" spans="1:18" x14ac:dyDescent="0.2">
      <c r="A76" s="73"/>
      <c r="B76" s="74"/>
      <c r="C76" s="48"/>
      <c r="D76" s="48"/>
      <c r="E76" s="48"/>
      <c r="F76" s="48"/>
      <c r="G76" s="48"/>
      <c r="H76" s="48"/>
      <c r="I76" s="48"/>
      <c r="J76" s="48"/>
      <c r="K76" s="48"/>
      <c r="L76" s="48"/>
      <c r="M76" s="48"/>
      <c r="N76" s="48"/>
      <c r="O76" s="48"/>
      <c r="P76" s="48"/>
      <c r="Q76" s="48"/>
      <c r="R76" s="48"/>
    </row>
    <row r="77" spans="1:18" x14ac:dyDescent="0.2">
      <c r="A77" s="73"/>
      <c r="B77" s="74"/>
      <c r="C77" s="48"/>
      <c r="D77" s="48"/>
      <c r="E77" s="48"/>
      <c r="F77" s="48"/>
      <c r="G77" s="48"/>
      <c r="H77" s="48"/>
      <c r="I77" s="48"/>
      <c r="J77" s="48"/>
      <c r="K77" s="48"/>
      <c r="L77" s="48"/>
      <c r="M77" s="48"/>
      <c r="N77" s="48"/>
      <c r="O77" s="48"/>
      <c r="P77" s="48"/>
      <c r="Q77" s="48"/>
      <c r="R77" s="48"/>
    </row>
    <row r="78" spans="1:18" x14ac:dyDescent="0.2">
      <c r="A78" s="72"/>
      <c r="B78" s="48"/>
      <c r="C78" s="48"/>
      <c r="D78" s="48"/>
      <c r="E78" s="48"/>
      <c r="F78" s="48"/>
      <c r="G78" s="48"/>
      <c r="H78" s="48"/>
      <c r="I78" s="48"/>
      <c r="J78" s="48"/>
      <c r="K78" s="48"/>
      <c r="L78" s="48"/>
      <c r="M78" s="48"/>
      <c r="N78" s="48"/>
      <c r="O78" s="48"/>
      <c r="P78" s="48"/>
      <c r="Q78" s="48"/>
      <c r="R78" s="48"/>
    </row>
    <row r="79" spans="1:18" x14ac:dyDescent="0.2">
      <c r="A79" s="72"/>
      <c r="B79" s="48"/>
      <c r="C79" s="48"/>
      <c r="D79" s="48"/>
      <c r="E79" s="48"/>
      <c r="F79" s="48"/>
      <c r="G79" s="48"/>
      <c r="H79" s="48"/>
      <c r="I79" s="48"/>
      <c r="J79" s="48"/>
      <c r="K79" s="48"/>
      <c r="L79" s="48"/>
      <c r="M79" s="48"/>
      <c r="N79" s="48"/>
      <c r="O79" s="48"/>
      <c r="P79" s="48"/>
      <c r="Q79" s="48"/>
      <c r="R79" s="48"/>
    </row>
    <row r="80" spans="1:18" x14ac:dyDescent="0.2">
      <c r="A80" s="73"/>
      <c r="B80" s="48"/>
      <c r="C80" s="48"/>
      <c r="D80" s="48"/>
      <c r="E80" s="48"/>
      <c r="F80" s="48"/>
      <c r="G80" s="48"/>
      <c r="H80" s="48"/>
      <c r="I80" s="48"/>
      <c r="J80" s="48"/>
      <c r="K80" s="48"/>
      <c r="L80" s="48"/>
      <c r="M80" s="48"/>
      <c r="N80" s="48"/>
      <c r="O80" s="48"/>
      <c r="P80" s="48"/>
      <c r="Q80" s="48"/>
      <c r="R80" s="48"/>
    </row>
    <row r="81" spans="1:18" x14ac:dyDescent="0.2">
      <c r="A81" s="73"/>
      <c r="B81" s="48"/>
      <c r="C81" s="48"/>
      <c r="D81" s="48"/>
      <c r="E81" s="48"/>
      <c r="F81" s="48"/>
      <c r="G81" s="48"/>
      <c r="H81" s="48"/>
      <c r="I81" s="48"/>
      <c r="J81" s="48"/>
      <c r="K81" s="48"/>
      <c r="L81" s="48"/>
      <c r="M81" s="48"/>
      <c r="N81" s="48"/>
      <c r="O81" s="48"/>
      <c r="P81" s="48"/>
      <c r="Q81" s="48"/>
      <c r="R81" s="48"/>
    </row>
    <row r="82" spans="1:18" x14ac:dyDescent="0.2">
      <c r="A82" s="72"/>
      <c r="B82" s="48"/>
      <c r="C82" s="48"/>
      <c r="D82" s="48"/>
      <c r="E82" s="48"/>
      <c r="F82" s="48"/>
      <c r="G82" s="48"/>
      <c r="H82" s="48"/>
      <c r="I82" s="48"/>
      <c r="J82" s="48"/>
      <c r="K82" s="48"/>
      <c r="L82" s="48"/>
      <c r="M82" s="48"/>
      <c r="N82" s="48"/>
      <c r="O82" s="48"/>
      <c r="P82" s="48"/>
      <c r="Q82" s="48"/>
      <c r="R82" s="48"/>
    </row>
    <row r="83" spans="1:18" x14ac:dyDescent="0.2">
      <c r="A83" s="72"/>
      <c r="B83" s="48"/>
      <c r="C83" s="48"/>
      <c r="D83" s="48"/>
      <c r="E83" s="48"/>
      <c r="F83" s="48"/>
      <c r="G83" s="48"/>
      <c r="H83" s="48"/>
      <c r="I83" s="48"/>
      <c r="J83" s="48"/>
      <c r="K83" s="48"/>
      <c r="L83" s="48"/>
      <c r="M83" s="48"/>
      <c r="N83" s="48"/>
      <c r="O83" s="48"/>
      <c r="P83" s="48"/>
      <c r="Q83" s="48"/>
      <c r="R83" s="48"/>
    </row>
    <row r="84" spans="1:18" x14ac:dyDescent="0.2">
      <c r="A84" s="73"/>
      <c r="B84" s="48"/>
      <c r="C84" s="48"/>
      <c r="D84" s="48"/>
      <c r="E84" s="48"/>
      <c r="F84" s="48"/>
      <c r="G84" s="48"/>
      <c r="H84" s="48"/>
      <c r="I84" s="48"/>
      <c r="J84" s="48"/>
      <c r="K84" s="48"/>
      <c r="L84" s="48"/>
      <c r="M84" s="48"/>
      <c r="N84" s="48"/>
      <c r="O84" s="48"/>
      <c r="P84" s="48"/>
      <c r="Q84" s="48"/>
      <c r="R84" s="48"/>
    </row>
    <row r="85" spans="1:18" x14ac:dyDescent="0.2">
      <c r="A85" s="73"/>
      <c r="B85" s="48"/>
      <c r="C85" s="48"/>
      <c r="D85" s="48"/>
      <c r="E85" s="48"/>
      <c r="F85" s="48"/>
      <c r="G85" s="48"/>
      <c r="H85" s="48"/>
      <c r="I85" s="48"/>
      <c r="J85" s="48"/>
      <c r="K85" s="48"/>
      <c r="L85" s="48"/>
      <c r="M85" s="48"/>
      <c r="N85" s="48"/>
      <c r="O85" s="48"/>
      <c r="P85" s="48"/>
      <c r="Q85" s="48"/>
      <c r="R85" s="48"/>
    </row>
    <row r="86" spans="1:18" x14ac:dyDescent="0.2">
      <c r="A86" s="75"/>
      <c r="B86" s="75"/>
      <c r="C86" s="45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5"/>
      <c r="O86" s="45"/>
      <c r="P86" s="45"/>
      <c r="Q86" s="45"/>
      <c r="R86" s="48"/>
    </row>
    <row r="87" spans="1:18" x14ac:dyDescent="0.2">
      <c r="A87" s="48"/>
      <c r="B87" s="48"/>
      <c r="C87" s="48"/>
      <c r="D87" s="48"/>
      <c r="E87" s="48"/>
      <c r="F87" s="48"/>
      <c r="G87" s="48"/>
      <c r="H87" s="48"/>
      <c r="I87" s="48"/>
      <c r="J87" s="48"/>
      <c r="K87" s="48"/>
      <c r="L87" s="48"/>
      <c r="M87" s="48"/>
      <c r="N87" s="48"/>
      <c r="O87" s="48"/>
      <c r="P87" s="48"/>
      <c r="Q87" s="48"/>
      <c r="R87" s="48"/>
    </row>
    <row r="88" spans="1:18" x14ac:dyDescent="0.2">
      <c r="A88" s="70"/>
      <c r="B88" s="70"/>
      <c r="C88" s="70"/>
      <c r="D88" s="48"/>
      <c r="E88" s="48"/>
      <c r="F88" s="48"/>
      <c r="G88" s="48"/>
      <c r="H88" s="48"/>
      <c r="I88" s="48"/>
      <c r="J88" s="48"/>
      <c r="K88" s="48"/>
      <c r="L88" s="48"/>
      <c r="M88" s="48"/>
      <c r="N88" s="48"/>
      <c r="O88" s="48"/>
      <c r="P88" s="48"/>
      <c r="Q88" s="48"/>
      <c r="R88" s="48"/>
    </row>
    <row r="89" spans="1:18" x14ac:dyDescent="0.2">
      <c r="A89" s="48"/>
      <c r="B89" s="48"/>
      <c r="C89" s="48"/>
      <c r="D89" s="48"/>
      <c r="E89" s="48"/>
      <c r="F89" s="48"/>
      <c r="G89" s="48"/>
      <c r="H89" s="48"/>
      <c r="I89" s="48"/>
      <c r="J89" s="48"/>
      <c r="K89" s="48"/>
      <c r="L89" s="48"/>
      <c r="M89" s="48"/>
      <c r="N89" s="48"/>
      <c r="O89" s="48"/>
      <c r="P89" s="48"/>
      <c r="Q89" s="48"/>
      <c r="R89" s="48"/>
    </row>
    <row r="90" spans="1:18" x14ac:dyDescent="0.2">
      <c r="A90" s="48"/>
      <c r="B90" s="48"/>
      <c r="C90" s="48"/>
      <c r="D90" s="48"/>
      <c r="E90" s="48"/>
      <c r="F90" s="48"/>
      <c r="G90" s="48"/>
      <c r="H90" s="48"/>
      <c r="I90" s="48"/>
      <c r="J90" s="48"/>
      <c r="K90" s="48"/>
      <c r="L90" s="48"/>
      <c r="M90" s="48"/>
      <c r="N90" s="48"/>
      <c r="O90" s="48"/>
      <c r="P90" s="48"/>
      <c r="Q90" s="48"/>
      <c r="R90" s="48"/>
    </row>
    <row r="91" spans="1:18" x14ac:dyDescent="0.2">
      <c r="A91" s="48"/>
      <c r="B91" s="48"/>
      <c r="C91" s="48"/>
      <c r="D91" s="48"/>
      <c r="E91" s="48"/>
      <c r="F91" s="48"/>
      <c r="G91" s="48"/>
      <c r="H91" s="48"/>
      <c r="I91" s="48"/>
      <c r="J91" s="48"/>
      <c r="K91" s="48"/>
      <c r="L91" s="48"/>
      <c r="M91" s="48"/>
      <c r="N91" s="48"/>
      <c r="O91" s="48"/>
      <c r="P91" s="48"/>
      <c r="Q91" s="48"/>
      <c r="R91" s="48"/>
    </row>
    <row r="92" spans="1:18" x14ac:dyDescent="0.2">
      <c r="A92" s="68"/>
      <c r="B92" s="68"/>
      <c r="C92" s="68"/>
      <c r="D92" s="68"/>
      <c r="E92" s="68"/>
      <c r="F92" s="68"/>
      <c r="G92" s="68"/>
      <c r="H92" s="68"/>
      <c r="I92" s="68"/>
      <c r="J92" s="68"/>
      <c r="K92" s="68"/>
      <c r="L92" s="68"/>
      <c r="M92" s="68"/>
      <c r="N92" s="68"/>
      <c r="O92" s="68"/>
      <c r="P92" s="68"/>
      <c r="Q92" s="68"/>
      <c r="R92" s="48"/>
    </row>
    <row r="93" spans="1:18" x14ac:dyDescent="0.2">
      <c r="A93" s="68"/>
      <c r="B93" s="68"/>
      <c r="C93" s="68"/>
      <c r="D93" s="68"/>
      <c r="E93" s="68"/>
      <c r="F93" s="68"/>
      <c r="G93" s="68"/>
      <c r="H93" s="68"/>
      <c r="I93" s="68"/>
      <c r="J93" s="68"/>
      <c r="K93" s="68"/>
      <c r="L93" s="68"/>
      <c r="M93" s="68"/>
      <c r="N93" s="68"/>
      <c r="O93" s="68"/>
      <c r="P93" s="68"/>
      <c r="Q93" s="68"/>
      <c r="R93" s="48"/>
    </row>
    <row r="94" spans="1:18" x14ac:dyDescent="0.2">
      <c r="A94" s="68"/>
      <c r="B94" s="68"/>
      <c r="C94" s="68"/>
      <c r="D94" s="68"/>
      <c r="E94" s="68"/>
      <c r="F94" s="68"/>
      <c r="G94" s="68"/>
      <c r="H94" s="68"/>
      <c r="I94" s="68"/>
      <c r="J94" s="68"/>
      <c r="K94" s="68"/>
      <c r="L94" s="68"/>
      <c r="M94" s="68"/>
      <c r="N94" s="68"/>
      <c r="O94" s="68"/>
      <c r="P94" s="68"/>
      <c r="Q94" s="68"/>
      <c r="R94" s="48"/>
    </row>
    <row r="95" spans="1:18" x14ac:dyDescent="0.2">
      <c r="A95" s="72"/>
      <c r="B95" s="48"/>
      <c r="C95" s="48"/>
      <c r="D95" s="48"/>
      <c r="E95" s="48"/>
      <c r="F95" s="48"/>
      <c r="G95" s="48"/>
      <c r="H95" s="48"/>
      <c r="I95" s="48"/>
      <c r="J95" s="48"/>
      <c r="K95" s="48"/>
      <c r="L95" s="48"/>
      <c r="M95" s="48"/>
      <c r="N95" s="48"/>
      <c r="O95" s="48"/>
      <c r="P95" s="48"/>
      <c r="Q95" s="48"/>
      <c r="R95" s="48"/>
    </row>
    <row r="96" spans="1:18" x14ac:dyDescent="0.2">
      <c r="A96" s="73"/>
      <c r="B96" s="74"/>
      <c r="C96" s="48"/>
      <c r="D96" s="48"/>
      <c r="E96" s="48"/>
      <c r="F96" s="48"/>
      <c r="G96" s="48"/>
      <c r="H96" s="48"/>
      <c r="I96" s="48"/>
      <c r="J96" s="48"/>
      <c r="K96" s="48"/>
      <c r="L96" s="48"/>
      <c r="M96" s="48"/>
      <c r="N96" s="48"/>
      <c r="O96" s="48"/>
      <c r="P96" s="48"/>
      <c r="Q96" s="48"/>
      <c r="R96" s="48"/>
    </row>
    <row r="97" spans="1:18" x14ac:dyDescent="0.2">
      <c r="A97" s="73"/>
      <c r="B97" s="74"/>
      <c r="C97" s="48"/>
      <c r="D97" s="48"/>
      <c r="E97" s="48"/>
      <c r="F97" s="48"/>
      <c r="G97" s="48"/>
      <c r="H97" s="48"/>
      <c r="I97" s="48"/>
      <c r="J97" s="48"/>
      <c r="K97" s="48"/>
      <c r="L97" s="48"/>
      <c r="M97" s="48"/>
      <c r="N97" s="48"/>
      <c r="O97" s="48"/>
      <c r="P97" s="48"/>
      <c r="Q97" s="48"/>
      <c r="R97" s="48"/>
    </row>
    <row r="98" spans="1:18" x14ac:dyDescent="0.2">
      <c r="A98" s="72"/>
      <c r="B98" s="48"/>
      <c r="C98" s="48"/>
      <c r="D98" s="48"/>
      <c r="E98" s="48"/>
      <c r="F98" s="48"/>
      <c r="G98" s="48"/>
      <c r="H98" s="48"/>
      <c r="I98" s="48"/>
      <c r="J98" s="48"/>
      <c r="K98" s="48"/>
      <c r="L98" s="48"/>
      <c r="M98" s="48"/>
      <c r="N98" s="48"/>
      <c r="O98" s="48"/>
      <c r="P98" s="48"/>
      <c r="Q98" s="48"/>
      <c r="R98" s="48"/>
    </row>
    <row r="99" spans="1:18" x14ac:dyDescent="0.2">
      <c r="A99" s="72"/>
      <c r="B99" s="48"/>
      <c r="C99" s="48"/>
      <c r="D99" s="48"/>
      <c r="E99" s="48"/>
      <c r="F99" s="48"/>
      <c r="G99" s="48"/>
      <c r="H99" s="48"/>
      <c r="I99" s="48"/>
      <c r="J99" s="48"/>
      <c r="K99" s="48"/>
      <c r="L99" s="48"/>
      <c r="M99" s="48"/>
      <c r="N99" s="48"/>
      <c r="O99" s="48"/>
      <c r="P99" s="48"/>
      <c r="Q99" s="48"/>
      <c r="R99" s="48"/>
    </row>
    <row r="100" spans="1:18" x14ac:dyDescent="0.2">
      <c r="A100" s="73"/>
      <c r="B100" s="74"/>
      <c r="C100" s="48"/>
      <c r="D100" s="48"/>
      <c r="E100" s="48"/>
      <c r="F100" s="48"/>
      <c r="G100" s="48"/>
      <c r="H100" s="48"/>
      <c r="I100" s="48"/>
      <c r="J100" s="48"/>
      <c r="K100" s="48"/>
      <c r="L100" s="48"/>
      <c r="M100" s="48"/>
      <c r="N100" s="48"/>
      <c r="O100" s="48"/>
      <c r="P100" s="48"/>
      <c r="Q100" s="48"/>
      <c r="R100" s="48"/>
    </row>
    <row r="101" spans="1:18" x14ac:dyDescent="0.2">
      <c r="A101" s="73"/>
      <c r="B101" s="74"/>
      <c r="C101" s="48"/>
      <c r="D101" s="48"/>
      <c r="E101" s="48"/>
      <c r="F101" s="48"/>
      <c r="G101" s="48"/>
      <c r="H101" s="48"/>
      <c r="I101" s="48"/>
      <c r="J101" s="48"/>
      <c r="K101" s="48"/>
      <c r="L101" s="48"/>
      <c r="M101" s="48"/>
      <c r="N101" s="48"/>
      <c r="O101" s="48"/>
      <c r="P101" s="48"/>
      <c r="Q101" s="48"/>
      <c r="R101" s="48"/>
    </row>
    <row r="102" spans="1:18" x14ac:dyDescent="0.2">
      <c r="A102" s="72"/>
      <c r="B102" s="48"/>
      <c r="C102" s="48"/>
      <c r="D102" s="48"/>
      <c r="E102" s="48"/>
      <c r="F102" s="48"/>
      <c r="G102" s="48"/>
      <c r="H102" s="48"/>
      <c r="I102" s="48"/>
      <c r="J102" s="48"/>
      <c r="K102" s="48"/>
      <c r="L102" s="48"/>
      <c r="M102" s="48"/>
      <c r="N102" s="48"/>
      <c r="O102" s="48"/>
      <c r="P102" s="48"/>
      <c r="Q102" s="48"/>
      <c r="R102" s="48"/>
    </row>
    <row r="103" spans="1:18" x14ac:dyDescent="0.2">
      <c r="A103" s="72"/>
      <c r="B103" s="48"/>
      <c r="C103" s="48"/>
      <c r="D103" s="48"/>
      <c r="E103" s="48"/>
      <c r="F103" s="48"/>
      <c r="G103" s="48"/>
      <c r="H103" s="48"/>
      <c r="I103" s="48"/>
      <c r="J103" s="48"/>
      <c r="K103" s="48"/>
      <c r="L103" s="48"/>
      <c r="M103" s="48"/>
      <c r="N103" s="48"/>
      <c r="O103" s="48"/>
      <c r="P103" s="48"/>
      <c r="Q103" s="48"/>
      <c r="R103" s="48"/>
    </row>
    <row r="104" spans="1:18" x14ac:dyDescent="0.2">
      <c r="A104" s="73"/>
      <c r="B104" s="48"/>
      <c r="C104" s="48"/>
      <c r="D104" s="48"/>
      <c r="E104" s="48"/>
      <c r="F104" s="48"/>
      <c r="G104" s="48"/>
      <c r="H104" s="48"/>
      <c r="I104" s="48"/>
      <c r="J104" s="48"/>
      <c r="K104" s="48"/>
      <c r="L104" s="48"/>
      <c r="M104" s="48"/>
      <c r="N104" s="48"/>
      <c r="O104" s="48"/>
      <c r="P104" s="48"/>
      <c r="Q104" s="48"/>
      <c r="R104" s="48"/>
    </row>
    <row r="105" spans="1:18" x14ac:dyDescent="0.2">
      <c r="A105" s="73"/>
      <c r="B105" s="48"/>
      <c r="C105" s="48"/>
      <c r="D105" s="48"/>
      <c r="E105" s="48"/>
      <c r="F105" s="48"/>
      <c r="G105" s="48"/>
      <c r="H105" s="48"/>
      <c r="I105" s="48"/>
      <c r="J105" s="48"/>
      <c r="K105" s="48"/>
      <c r="L105" s="48"/>
      <c r="M105" s="48"/>
      <c r="N105" s="48"/>
      <c r="O105" s="48"/>
      <c r="P105" s="48"/>
      <c r="Q105" s="48"/>
      <c r="R105" s="48"/>
    </row>
    <row r="106" spans="1:18" x14ac:dyDescent="0.2">
      <c r="A106" s="72"/>
      <c r="B106" s="48"/>
      <c r="C106" s="48"/>
      <c r="D106" s="48"/>
      <c r="E106" s="48"/>
      <c r="F106" s="48"/>
      <c r="G106" s="48"/>
      <c r="H106" s="48"/>
      <c r="I106" s="48"/>
      <c r="J106" s="48"/>
      <c r="K106" s="48"/>
      <c r="L106" s="48"/>
      <c r="M106" s="48"/>
      <c r="N106" s="48"/>
      <c r="O106" s="48"/>
      <c r="P106" s="48"/>
      <c r="Q106" s="48"/>
      <c r="R106" s="48"/>
    </row>
    <row r="107" spans="1:18" x14ac:dyDescent="0.2">
      <c r="A107" s="72"/>
      <c r="B107" s="48"/>
      <c r="C107" s="48"/>
      <c r="D107" s="48"/>
      <c r="E107" s="48"/>
      <c r="F107" s="48"/>
      <c r="G107" s="48"/>
      <c r="H107" s="48"/>
      <c r="I107" s="48"/>
      <c r="J107" s="48"/>
      <c r="K107" s="48"/>
      <c r="L107" s="48"/>
      <c r="M107" s="48"/>
      <c r="N107" s="48"/>
      <c r="O107" s="48"/>
      <c r="P107" s="48"/>
      <c r="Q107" s="48"/>
      <c r="R107" s="48"/>
    </row>
    <row r="108" spans="1:18" x14ac:dyDescent="0.2">
      <c r="A108" s="73"/>
      <c r="B108" s="48"/>
      <c r="C108" s="48"/>
      <c r="D108" s="48"/>
      <c r="E108" s="48"/>
      <c r="F108" s="48"/>
      <c r="G108" s="48"/>
      <c r="H108" s="48"/>
      <c r="I108" s="48"/>
      <c r="J108" s="48"/>
      <c r="K108" s="48"/>
      <c r="L108" s="48"/>
      <c r="M108" s="48"/>
      <c r="N108" s="48"/>
      <c r="O108" s="48"/>
      <c r="P108" s="48"/>
      <c r="Q108" s="48"/>
      <c r="R108" s="48"/>
    </row>
    <row r="109" spans="1:18" x14ac:dyDescent="0.2">
      <c r="A109" s="73"/>
      <c r="B109" s="48"/>
      <c r="C109" s="48"/>
      <c r="D109" s="48"/>
      <c r="E109" s="48"/>
      <c r="F109" s="48"/>
      <c r="G109" s="48"/>
      <c r="H109" s="48"/>
      <c r="I109" s="48"/>
      <c r="J109" s="48"/>
      <c r="K109" s="48"/>
      <c r="L109" s="48"/>
      <c r="M109" s="48"/>
      <c r="N109" s="48"/>
      <c r="O109" s="48"/>
      <c r="P109" s="48"/>
      <c r="Q109" s="48"/>
      <c r="R109" s="48"/>
    </row>
    <row r="110" spans="1:18" x14ac:dyDescent="0.2">
      <c r="A110" s="75"/>
      <c r="B110" s="75"/>
      <c r="C110" s="45"/>
      <c r="D110" s="45"/>
      <c r="E110" s="45"/>
      <c r="F110" s="45"/>
      <c r="G110" s="45"/>
      <c r="H110" s="45"/>
      <c r="I110" s="45"/>
      <c r="J110" s="45"/>
      <c r="K110" s="45"/>
      <c r="L110" s="45"/>
      <c r="M110" s="45"/>
      <c r="N110" s="45"/>
      <c r="O110" s="45"/>
      <c r="P110" s="45"/>
      <c r="Q110" s="45"/>
      <c r="R110" s="48"/>
    </row>
    <row r="111" spans="1:18" x14ac:dyDescent="0.2">
      <c r="A111" s="48"/>
      <c r="B111" s="48"/>
      <c r="C111" s="48"/>
      <c r="D111" s="48"/>
      <c r="E111" s="48"/>
      <c r="F111" s="48"/>
      <c r="G111" s="48"/>
      <c r="H111" s="48"/>
      <c r="I111" s="48"/>
      <c r="J111" s="48"/>
      <c r="K111" s="48"/>
      <c r="L111" s="48"/>
      <c r="M111" s="48"/>
      <c r="N111" s="48"/>
      <c r="O111" s="48"/>
      <c r="P111" s="48"/>
      <c r="Q111" s="48"/>
      <c r="R111" s="48"/>
    </row>
    <row r="112" spans="1:18" x14ac:dyDescent="0.2">
      <c r="A112" s="70"/>
      <c r="B112" s="70"/>
      <c r="C112" s="70"/>
      <c r="D112" s="48"/>
      <c r="E112" s="48"/>
      <c r="F112" s="48"/>
      <c r="G112" s="48"/>
      <c r="H112" s="48"/>
      <c r="I112" s="48"/>
      <c r="J112" s="48"/>
      <c r="K112" s="48"/>
      <c r="L112" s="48"/>
      <c r="M112" s="48"/>
      <c r="N112" s="48"/>
      <c r="O112" s="48"/>
      <c r="P112" s="48"/>
      <c r="Q112" s="48"/>
      <c r="R112" s="48"/>
    </row>
    <row r="113" spans="1:18" x14ac:dyDescent="0.2">
      <c r="A113" s="48"/>
      <c r="B113" s="48"/>
      <c r="C113" s="48"/>
      <c r="D113" s="48"/>
      <c r="E113" s="48"/>
      <c r="F113" s="48"/>
      <c r="G113" s="48"/>
      <c r="H113" s="48"/>
      <c r="I113" s="48"/>
      <c r="J113" s="48"/>
      <c r="K113" s="48"/>
      <c r="L113" s="48"/>
      <c r="M113" s="48"/>
      <c r="N113" s="48"/>
      <c r="O113" s="48"/>
      <c r="P113" s="48"/>
      <c r="Q113" s="48"/>
      <c r="R113" s="48"/>
    </row>
    <row r="114" spans="1:18" x14ac:dyDescent="0.2">
      <c r="A114" s="68"/>
      <c r="B114" s="68"/>
      <c r="C114" s="68"/>
      <c r="D114" s="68"/>
      <c r="E114" s="68"/>
      <c r="F114" s="68"/>
      <c r="G114" s="68"/>
      <c r="H114" s="68"/>
      <c r="I114" s="68"/>
      <c r="J114" s="68"/>
      <c r="K114" s="68"/>
      <c r="L114" s="68"/>
      <c r="M114" s="68"/>
      <c r="N114" s="68"/>
      <c r="O114" s="68"/>
      <c r="P114" s="68"/>
      <c r="Q114" s="68"/>
      <c r="R114" s="48"/>
    </row>
    <row r="115" spans="1:18" x14ac:dyDescent="0.2">
      <c r="A115" s="68"/>
      <c r="B115" s="68"/>
      <c r="C115" s="68"/>
      <c r="D115" s="68"/>
      <c r="E115" s="68"/>
      <c r="F115" s="68"/>
      <c r="G115" s="68"/>
      <c r="H115" s="68"/>
      <c r="I115" s="68"/>
      <c r="J115" s="68"/>
      <c r="K115" s="68"/>
      <c r="L115" s="68"/>
      <c r="M115" s="68"/>
      <c r="N115" s="68"/>
      <c r="O115" s="68"/>
      <c r="P115" s="68"/>
      <c r="Q115" s="68"/>
      <c r="R115" s="48"/>
    </row>
    <row r="116" spans="1:18" x14ac:dyDescent="0.2">
      <c r="A116" s="68"/>
      <c r="B116" s="68"/>
      <c r="C116" s="48"/>
      <c r="D116" s="48"/>
      <c r="E116" s="48"/>
      <c r="F116" s="71"/>
      <c r="G116" s="68"/>
      <c r="H116" s="68"/>
      <c r="I116" s="68"/>
      <c r="J116" s="68"/>
      <c r="K116" s="68"/>
      <c r="L116" s="68"/>
      <c r="M116" s="68"/>
      <c r="N116" s="68"/>
      <c r="O116" s="68"/>
      <c r="P116" s="68"/>
      <c r="Q116" s="68"/>
      <c r="R116" s="48"/>
    </row>
    <row r="117" spans="1:18" x14ac:dyDescent="0.2">
      <c r="A117" s="72"/>
      <c r="B117" s="48"/>
      <c r="C117" s="48"/>
      <c r="D117" s="48"/>
      <c r="E117" s="48"/>
      <c r="F117" s="76"/>
      <c r="G117" s="48"/>
      <c r="H117" s="48"/>
      <c r="I117" s="48"/>
      <c r="J117" s="48"/>
      <c r="K117" s="48"/>
      <c r="L117" s="48"/>
      <c r="M117" s="48"/>
      <c r="N117" s="48"/>
      <c r="O117" s="48"/>
      <c r="P117" s="48"/>
      <c r="Q117" s="48"/>
      <c r="R117" s="48"/>
    </row>
    <row r="118" spans="1:18" x14ac:dyDescent="0.2">
      <c r="A118" s="73"/>
      <c r="B118" s="74"/>
      <c r="C118" s="48"/>
      <c r="D118" s="48"/>
      <c r="E118" s="48"/>
      <c r="F118" s="76"/>
      <c r="G118" s="48"/>
      <c r="H118" s="48"/>
      <c r="I118" s="48"/>
      <c r="J118" s="48"/>
      <c r="K118" s="48"/>
      <c r="L118" s="48"/>
      <c r="M118" s="48"/>
      <c r="N118" s="48"/>
      <c r="O118" s="48"/>
      <c r="P118" s="48"/>
      <c r="Q118" s="48"/>
      <c r="R118" s="48"/>
    </row>
    <row r="119" spans="1:18" x14ac:dyDescent="0.2">
      <c r="A119" s="73"/>
      <c r="B119" s="74"/>
      <c r="C119" s="48"/>
      <c r="D119" s="48"/>
      <c r="E119" s="48"/>
      <c r="F119" s="76"/>
      <c r="G119" s="48"/>
      <c r="H119" s="48"/>
      <c r="I119" s="48"/>
      <c r="J119" s="48"/>
      <c r="K119" s="48"/>
      <c r="L119" s="48"/>
      <c r="M119" s="48"/>
      <c r="N119" s="48"/>
      <c r="O119" s="48"/>
      <c r="P119" s="48"/>
      <c r="Q119" s="48"/>
      <c r="R119" s="48"/>
    </row>
    <row r="120" spans="1:18" x14ac:dyDescent="0.2">
      <c r="A120" s="72"/>
      <c r="B120" s="48"/>
      <c r="C120" s="48"/>
      <c r="D120" s="48"/>
      <c r="E120" s="48"/>
      <c r="F120" s="76"/>
      <c r="G120" s="48"/>
      <c r="H120" s="48"/>
      <c r="I120" s="48"/>
      <c r="J120" s="48"/>
      <c r="K120" s="48"/>
      <c r="L120" s="48"/>
      <c r="M120" s="48"/>
      <c r="N120" s="48"/>
      <c r="O120" s="48"/>
      <c r="P120" s="48"/>
      <c r="Q120" s="48"/>
      <c r="R120" s="48"/>
    </row>
    <row r="121" spans="1:18" x14ac:dyDescent="0.2">
      <c r="A121" s="73"/>
      <c r="B121" s="48"/>
      <c r="C121" s="48"/>
      <c r="D121" s="48"/>
      <c r="E121" s="48"/>
      <c r="F121" s="76"/>
      <c r="G121" s="48"/>
      <c r="H121" s="48"/>
      <c r="I121" s="48"/>
      <c r="J121" s="48"/>
      <c r="K121" s="48"/>
      <c r="L121" s="48"/>
      <c r="M121" s="48"/>
      <c r="N121" s="48"/>
      <c r="O121" s="48"/>
      <c r="P121" s="48"/>
      <c r="Q121" s="48"/>
      <c r="R121" s="48"/>
    </row>
    <row r="122" spans="1:18" x14ac:dyDescent="0.2">
      <c r="A122" s="73"/>
      <c r="B122" s="74"/>
      <c r="C122" s="48"/>
      <c r="D122" s="48"/>
      <c r="E122" s="48"/>
      <c r="F122" s="76"/>
      <c r="G122" s="48"/>
      <c r="H122" s="48"/>
      <c r="I122" s="48"/>
      <c r="J122" s="48"/>
      <c r="K122" s="48"/>
      <c r="L122" s="48"/>
      <c r="M122" s="48"/>
      <c r="N122" s="48"/>
      <c r="O122" s="48"/>
      <c r="P122" s="48"/>
      <c r="Q122" s="48"/>
      <c r="R122" s="48"/>
    </row>
    <row r="123" spans="1:18" x14ac:dyDescent="0.2">
      <c r="A123" s="72"/>
      <c r="B123" s="74"/>
      <c r="C123" s="48"/>
      <c r="D123" s="48"/>
      <c r="E123" s="48"/>
      <c r="F123" s="76"/>
      <c r="G123" s="48"/>
      <c r="H123" s="48"/>
      <c r="I123" s="48"/>
      <c r="J123" s="48"/>
      <c r="K123" s="48"/>
      <c r="L123" s="48"/>
      <c r="M123" s="48"/>
      <c r="N123" s="48"/>
      <c r="O123" s="48"/>
      <c r="P123" s="48"/>
      <c r="Q123" s="48"/>
      <c r="R123" s="48"/>
    </row>
    <row r="124" spans="1:18" x14ac:dyDescent="0.2">
      <c r="A124" s="73"/>
      <c r="B124" s="48"/>
      <c r="C124" s="48"/>
      <c r="D124" s="48"/>
      <c r="E124" s="48"/>
      <c r="F124" s="76"/>
      <c r="G124" s="48"/>
      <c r="H124" s="48"/>
      <c r="I124" s="48"/>
      <c r="J124" s="48"/>
      <c r="K124" s="48"/>
      <c r="L124" s="48"/>
      <c r="M124" s="48"/>
      <c r="N124" s="48"/>
      <c r="O124" s="48"/>
      <c r="P124" s="48"/>
      <c r="Q124" s="48"/>
      <c r="R124" s="48"/>
    </row>
    <row r="125" spans="1:18" x14ac:dyDescent="0.2">
      <c r="A125" s="73"/>
      <c r="B125" s="48"/>
      <c r="C125" s="48"/>
      <c r="D125" s="48"/>
      <c r="E125" s="48"/>
      <c r="F125" s="76"/>
      <c r="G125" s="48"/>
      <c r="H125" s="48"/>
      <c r="I125" s="48"/>
      <c r="J125" s="48"/>
      <c r="K125" s="48"/>
      <c r="L125" s="48"/>
      <c r="M125" s="48"/>
      <c r="N125" s="48"/>
      <c r="O125" s="48"/>
      <c r="P125" s="48"/>
      <c r="Q125" s="48"/>
      <c r="R125" s="48"/>
    </row>
    <row r="126" spans="1:18" x14ac:dyDescent="0.2">
      <c r="A126" s="72"/>
      <c r="B126" s="48"/>
      <c r="C126" s="48"/>
      <c r="D126" s="48"/>
      <c r="E126" s="48"/>
      <c r="F126" s="76"/>
      <c r="G126" s="48"/>
      <c r="H126" s="48"/>
      <c r="I126" s="48"/>
      <c r="J126" s="48"/>
      <c r="K126" s="48"/>
      <c r="L126" s="48"/>
      <c r="M126" s="48"/>
      <c r="N126" s="48"/>
      <c r="O126" s="48"/>
      <c r="P126" s="48"/>
      <c r="Q126" s="48"/>
      <c r="R126" s="48"/>
    </row>
    <row r="127" spans="1:18" x14ac:dyDescent="0.2">
      <c r="A127" s="73"/>
      <c r="B127" s="48"/>
      <c r="C127" s="48"/>
      <c r="D127" s="48"/>
      <c r="E127" s="48"/>
      <c r="F127" s="76"/>
      <c r="G127" s="48"/>
      <c r="H127" s="48"/>
      <c r="I127" s="48"/>
      <c r="J127" s="48"/>
      <c r="K127" s="48"/>
      <c r="L127" s="48"/>
      <c r="M127" s="48"/>
      <c r="N127" s="48"/>
      <c r="O127" s="48"/>
      <c r="P127" s="48"/>
      <c r="Q127" s="48"/>
      <c r="R127" s="48"/>
    </row>
    <row r="128" spans="1:18" x14ac:dyDescent="0.2">
      <c r="A128" s="75"/>
      <c r="B128" s="75"/>
      <c r="C128" s="45"/>
      <c r="D128" s="45"/>
      <c r="E128" s="45"/>
      <c r="F128" s="45"/>
      <c r="G128" s="45"/>
      <c r="H128" s="45"/>
      <c r="I128" s="45"/>
      <c r="J128" s="45"/>
      <c r="K128" s="45"/>
      <c r="L128" s="45"/>
      <c r="M128" s="45"/>
      <c r="N128" s="45"/>
      <c r="O128" s="45"/>
      <c r="P128" s="45"/>
      <c r="Q128" s="45"/>
      <c r="R128" s="48"/>
    </row>
    <row r="129" spans="1:18" x14ac:dyDescent="0.2">
      <c r="A129" s="48"/>
      <c r="B129" s="48"/>
      <c r="C129" s="48"/>
      <c r="D129" s="48"/>
      <c r="E129" s="48"/>
      <c r="F129" s="48"/>
      <c r="G129" s="48"/>
      <c r="H129" s="48"/>
      <c r="I129" s="48"/>
      <c r="J129" s="48"/>
      <c r="K129" s="48"/>
      <c r="L129" s="48"/>
      <c r="M129" s="48"/>
      <c r="N129" s="48"/>
      <c r="O129" s="48"/>
      <c r="P129" s="48"/>
      <c r="Q129" s="48"/>
      <c r="R129" s="48"/>
    </row>
    <row r="130" spans="1:18" x14ac:dyDescent="0.2">
      <c r="A130" s="70"/>
      <c r="B130" s="70"/>
      <c r="C130" s="48"/>
      <c r="D130" s="48"/>
      <c r="E130" s="48"/>
      <c r="F130" s="48"/>
      <c r="G130" s="48"/>
      <c r="H130" s="48"/>
      <c r="I130" s="48"/>
      <c r="J130" s="48"/>
      <c r="K130" s="48"/>
      <c r="L130" s="48"/>
      <c r="M130" s="48"/>
      <c r="N130" s="48"/>
      <c r="O130" s="48"/>
      <c r="P130" s="48"/>
      <c r="Q130" s="48"/>
      <c r="R130" s="48"/>
    </row>
    <row r="131" spans="1:18" x14ac:dyDescent="0.2">
      <c r="A131" s="48"/>
      <c r="B131" s="48"/>
      <c r="C131" s="48"/>
      <c r="D131" s="48"/>
      <c r="E131" s="48"/>
      <c r="F131" s="48"/>
      <c r="G131" s="48"/>
      <c r="H131" s="48"/>
      <c r="I131" s="48"/>
      <c r="J131" s="48"/>
      <c r="K131" s="48"/>
      <c r="L131" s="48"/>
      <c r="M131" s="48"/>
      <c r="N131" s="48"/>
      <c r="O131" s="48"/>
      <c r="P131" s="48"/>
      <c r="Q131" s="48"/>
      <c r="R131" s="48"/>
    </row>
    <row r="132" spans="1:18" x14ac:dyDescent="0.2">
      <c r="A132" s="48"/>
      <c r="B132" s="48"/>
      <c r="C132" s="48"/>
      <c r="D132" s="48"/>
      <c r="E132" s="48"/>
      <c r="F132" s="48"/>
      <c r="G132" s="48"/>
      <c r="H132" s="48"/>
      <c r="I132" s="48"/>
      <c r="J132" s="48"/>
      <c r="K132" s="48"/>
      <c r="L132" s="48"/>
      <c r="M132" s="48"/>
      <c r="N132" s="48"/>
      <c r="O132" s="48"/>
      <c r="P132" s="48"/>
      <c r="Q132" s="48"/>
      <c r="R132" s="48"/>
    </row>
    <row r="133" spans="1:18" x14ac:dyDescent="0.2">
      <c r="A133" s="48"/>
      <c r="B133" s="48"/>
      <c r="C133" s="48"/>
      <c r="D133" s="48"/>
      <c r="E133" s="48"/>
      <c r="F133" s="48"/>
      <c r="G133" s="48"/>
      <c r="H133" s="48"/>
      <c r="I133" s="48"/>
      <c r="J133" s="48"/>
      <c r="K133" s="48"/>
      <c r="L133" s="48"/>
      <c r="M133" s="48"/>
      <c r="N133" s="48"/>
      <c r="O133" s="48"/>
      <c r="P133" s="48"/>
      <c r="Q133" s="48"/>
      <c r="R133" s="48"/>
    </row>
    <row r="134" spans="1:18" x14ac:dyDescent="0.2">
      <c r="A134" s="48"/>
      <c r="B134" s="48"/>
      <c r="C134" s="48"/>
      <c r="D134" s="48"/>
      <c r="E134" s="48"/>
      <c r="F134" s="48"/>
      <c r="G134" s="48"/>
      <c r="H134" s="48"/>
      <c r="I134" s="48"/>
      <c r="J134" s="48"/>
      <c r="K134" s="48"/>
      <c r="L134" s="48"/>
      <c r="M134" s="48"/>
      <c r="N134" s="48"/>
      <c r="O134" s="48"/>
      <c r="P134" s="48"/>
      <c r="Q134" s="48"/>
      <c r="R134" s="48"/>
    </row>
    <row r="135" spans="1:18" x14ac:dyDescent="0.2">
      <c r="A135" s="48"/>
      <c r="B135" s="48"/>
      <c r="C135" s="48"/>
      <c r="D135" s="48"/>
      <c r="E135" s="48"/>
      <c r="F135" s="48"/>
      <c r="G135" s="48"/>
      <c r="H135" s="48"/>
      <c r="I135" s="48"/>
      <c r="J135" s="48"/>
      <c r="K135" s="48"/>
      <c r="L135" s="48"/>
      <c r="M135" s="48"/>
      <c r="N135" s="48"/>
      <c r="O135" s="48"/>
      <c r="P135" s="48"/>
      <c r="Q135" s="48"/>
      <c r="R135" s="48"/>
    </row>
    <row r="136" spans="1:18" x14ac:dyDescent="0.2">
      <c r="A136" s="48"/>
      <c r="B136" s="48"/>
      <c r="C136" s="48"/>
      <c r="D136" s="48"/>
      <c r="E136" s="48"/>
      <c r="F136" s="48"/>
      <c r="G136" s="48"/>
      <c r="H136" s="48"/>
      <c r="I136" s="48"/>
      <c r="J136" s="48"/>
      <c r="K136" s="48"/>
      <c r="L136" s="48"/>
      <c r="M136" s="48"/>
      <c r="N136" s="48"/>
      <c r="O136" s="48"/>
      <c r="P136" s="48"/>
      <c r="Q136" s="48"/>
      <c r="R136" s="48"/>
    </row>
    <row r="137" spans="1:18" x14ac:dyDescent="0.2">
      <c r="A137" s="48"/>
      <c r="B137" s="48"/>
      <c r="C137" s="48"/>
      <c r="D137" s="48"/>
      <c r="E137" s="48"/>
      <c r="F137" s="48"/>
      <c r="G137" s="48"/>
      <c r="H137" s="48"/>
      <c r="I137" s="48"/>
      <c r="J137" s="48"/>
      <c r="K137" s="48"/>
      <c r="L137" s="48"/>
      <c r="M137" s="48"/>
      <c r="N137" s="48"/>
      <c r="O137" s="48"/>
      <c r="P137" s="48"/>
      <c r="Q137" s="48"/>
      <c r="R137" s="48"/>
    </row>
    <row r="138" spans="1:18" x14ac:dyDescent="0.2">
      <c r="A138" s="48"/>
      <c r="B138" s="48"/>
      <c r="C138" s="48"/>
      <c r="D138" s="48"/>
      <c r="E138" s="48"/>
      <c r="F138" s="48"/>
      <c r="G138" s="48"/>
      <c r="H138" s="48"/>
      <c r="I138" s="48"/>
      <c r="J138" s="48"/>
      <c r="K138" s="48"/>
      <c r="L138" s="48"/>
      <c r="M138" s="48"/>
      <c r="N138" s="48"/>
      <c r="O138" s="48"/>
      <c r="P138" s="48"/>
      <c r="Q138" s="48"/>
      <c r="R138" s="48"/>
    </row>
    <row r="139" spans="1:18" x14ac:dyDescent="0.2">
      <c r="A139" s="48"/>
      <c r="B139" s="48"/>
      <c r="C139" s="48"/>
      <c r="D139" s="48"/>
      <c r="E139" s="48"/>
      <c r="F139" s="48"/>
      <c r="G139" s="48"/>
      <c r="H139" s="48"/>
      <c r="I139" s="48"/>
      <c r="J139" s="48"/>
      <c r="K139" s="48"/>
      <c r="L139" s="48"/>
      <c r="M139" s="48"/>
      <c r="N139" s="48"/>
      <c r="O139" s="48"/>
      <c r="P139" s="48"/>
      <c r="Q139" s="48"/>
      <c r="R139" s="48"/>
    </row>
    <row r="140" spans="1:18" x14ac:dyDescent="0.2">
      <c r="A140" s="48"/>
      <c r="B140" s="48"/>
      <c r="C140" s="48"/>
      <c r="D140" s="48"/>
      <c r="E140" s="48"/>
      <c r="F140" s="48"/>
      <c r="G140" s="48"/>
      <c r="H140" s="48"/>
      <c r="I140" s="48"/>
      <c r="J140" s="48"/>
      <c r="K140" s="48"/>
      <c r="L140" s="48"/>
      <c r="M140" s="48"/>
      <c r="N140" s="48"/>
      <c r="O140" s="48"/>
      <c r="P140" s="48"/>
      <c r="Q140" s="48"/>
      <c r="R140" s="48"/>
    </row>
    <row r="141" spans="1:18" x14ac:dyDescent="0.2">
      <c r="A141" s="48"/>
      <c r="B141" s="48"/>
      <c r="C141" s="48"/>
      <c r="D141" s="48"/>
      <c r="E141" s="48"/>
      <c r="F141" s="48"/>
      <c r="G141" s="48"/>
      <c r="H141" s="48"/>
      <c r="I141" s="48"/>
      <c r="J141" s="48"/>
      <c r="K141" s="48"/>
      <c r="L141" s="48"/>
      <c r="M141" s="48"/>
      <c r="N141" s="48"/>
      <c r="O141" s="48"/>
      <c r="P141" s="48"/>
      <c r="Q141" s="48"/>
      <c r="R141" s="48"/>
    </row>
    <row r="142" spans="1:18" x14ac:dyDescent="0.2">
      <c r="A142" s="48"/>
      <c r="B142" s="48"/>
      <c r="C142" s="48"/>
      <c r="D142" s="48"/>
      <c r="E142" s="48"/>
      <c r="F142" s="48"/>
      <c r="G142" s="48"/>
      <c r="H142" s="48"/>
      <c r="I142" s="48"/>
      <c r="J142" s="48"/>
      <c r="K142" s="48"/>
      <c r="L142" s="48"/>
      <c r="M142" s="48"/>
      <c r="N142" s="48"/>
      <c r="O142" s="48"/>
      <c r="P142" s="48"/>
      <c r="Q142" s="48"/>
      <c r="R142" s="48"/>
    </row>
    <row r="143" spans="1:18" x14ac:dyDescent="0.2">
      <c r="A143" s="48"/>
      <c r="B143" s="48"/>
      <c r="C143" s="48"/>
      <c r="D143" s="48"/>
      <c r="E143" s="48"/>
      <c r="F143" s="48"/>
      <c r="G143" s="48"/>
      <c r="H143" s="48"/>
      <c r="I143" s="48"/>
      <c r="J143" s="48"/>
      <c r="K143" s="48"/>
      <c r="L143" s="48"/>
      <c r="M143" s="48"/>
      <c r="N143" s="48"/>
      <c r="O143" s="48"/>
      <c r="P143" s="48"/>
      <c r="Q143" s="48"/>
      <c r="R143" s="48"/>
    </row>
    <row r="144" spans="1:18" x14ac:dyDescent="0.2">
      <c r="A144" s="48"/>
      <c r="B144" s="48"/>
      <c r="C144" s="48"/>
      <c r="D144" s="48"/>
      <c r="E144" s="48"/>
      <c r="F144" s="48"/>
      <c r="G144" s="48"/>
      <c r="H144" s="48"/>
      <c r="I144" s="48"/>
      <c r="J144" s="48"/>
      <c r="K144" s="48"/>
      <c r="L144" s="48"/>
      <c r="M144" s="48"/>
      <c r="N144" s="48"/>
      <c r="O144" s="48"/>
      <c r="P144" s="48"/>
      <c r="Q144" s="48"/>
      <c r="R144" s="48"/>
    </row>
    <row r="145" spans="1:18" x14ac:dyDescent="0.2">
      <c r="A145" s="48"/>
      <c r="B145" s="48"/>
      <c r="C145" s="48"/>
      <c r="D145" s="48"/>
      <c r="E145" s="48"/>
      <c r="F145" s="48"/>
      <c r="G145" s="48"/>
      <c r="H145" s="48"/>
      <c r="I145" s="48"/>
      <c r="J145" s="48"/>
      <c r="K145" s="48"/>
      <c r="L145" s="48"/>
      <c r="M145" s="48"/>
      <c r="N145" s="48"/>
      <c r="O145" s="48"/>
      <c r="P145" s="48"/>
      <c r="Q145" s="48"/>
      <c r="R145" s="48"/>
    </row>
    <row r="146" spans="1:18" x14ac:dyDescent="0.2">
      <c r="A146" s="48"/>
      <c r="B146" s="48"/>
      <c r="C146" s="48"/>
      <c r="D146" s="48"/>
      <c r="E146" s="48"/>
      <c r="F146" s="48"/>
      <c r="G146" s="48"/>
      <c r="H146" s="48"/>
      <c r="I146" s="48"/>
      <c r="J146" s="48"/>
      <c r="K146" s="48"/>
      <c r="L146" s="48"/>
      <c r="M146" s="48"/>
      <c r="N146" s="48"/>
      <c r="O146" s="48"/>
      <c r="P146" s="48"/>
      <c r="Q146" s="48"/>
      <c r="R146" s="48"/>
    </row>
    <row r="147" spans="1:18" x14ac:dyDescent="0.2">
      <c r="A147" s="48"/>
      <c r="B147" s="48"/>
      <c r="C147" s="48"/>
      <c r="D147" s="48"/>
      <c r="E147" s="48"/>
      <c r="F147" s="48"/>
      <c r="G147" s="48"/>
      <c r="H147" s="48"/>
      <c r="I147" s="48"/>
      <c r="J147" s="48"/>
      <c r="K147" s="48"/>
      <c r="L147" s="48"/>
      <c r="M147" s="48"/>
      <c r="N147" s="48"/>
      <c r="O147" s="48"/>
      <c r="P147" s="48"/>
      <c r="Q147" s="48"/>
      <c r="R147" s="48"/>
    </row>
    <row r="148" spans="1:18" x14ac:dyDescent="0.2">
      <c r="A148" s="48"/>
      <c r="B148" s="48"/>
      <c r="C148" s="48"/>
      <c r="D148" s="48"/>
      <c r="E148" s="48"/>
      <c r="F148" s="48"/>
      <c r="G148" s="48"/>
      <c r="H148" s="48"/>
      <c r="I148" s="48"/>
      <c r="J148" s="48"/>
      <c r="K148" s="48"/>
      <c r="L148" s="48"/>
      <c r="M148" s="48"/>
      <c r="N148" s="48"/>
      <c r="O148" s="48"/>
      <c r="P148" s="48"/>
      <c r="Q148" s="48"/>
      <c r="R148" s="48"/>
    </row>
    <row r="149" spans="1:18" x14ac:dyDescent="0.2">
      <c r="A149" s="48"/>
      <c r="B149" s="48"/>
      <c r="C149" s="48"/>
      <c r="D149" s="48"/>
      <c r="E149" s="48"/>
      <c r="F149" s="48"/>
      <c r="G149" s="48"/>
      <c r="H149" s="48"/>
      <c r="I149" s="48"/>
      <c r="J149" s="48"/>
      <c r="K149" s="48"/>
      <c r="L149" s="48"/>
      <c r="M149" s="48"/>
      <c r="N149" s="48"/>
      <c r="O149" s="48"/>
      <c r="P149" s="48"/>
      <c r="Q149" s="48"/>
      <c r="R149" s="48"/>
    </row>
    <row r="150" spans="1:18" x14ac:dyDescent="0.2">
      <c r="A150" s="48"/>
      <c r="B150" s="48"/>
      <c r="C150" s="48"/>
      <c r="D150" s="48"/>
      <c r="E150" s="48"/>
      <c r="F150" s="48"/>
      <c r="G150" s="48"/>
      <c r="H150" s="48"/>
      <c r="I150" s="48"/>
      <c r="J150" s="48"/>
      <c r="K150" s="48"/>
      <c r="L150" s="48"/>
      <c r="M150" s="48"/>
      <c r="N150" s="48"/>
      <c r="O150" s="48"/>
      <c r="P150" s="48"/>
      <c r="Q150" s="48"/>
      <c r="R150" s="48"/>
    </row>
    <row r="151" spans="1:18" x14ac:dyDescent="0.2">
      <c r="A151" s="48"/>
      <c r="B151" s="48"/>
      <c r="C151" s="48"/>
      <c r="D151" s="48"/>
      <c r="E151" s="48"/>
      <c r="F151" s="48"/>
      <c r="G151" s="48"/>
      <c r="H151" s="48"/>
      <c r="I151" s="48"/>
      <c r="J151" s="48"/>
      <c r="K151" s="48"/>
      <c r="L151" s="48"/>
      <c r="M151" s="48"/>
      <c r="N151" s="48"/>
      <c r="O151" s="48"/>
      <c r="P151" s="48"/>
      <c r="Q151" s="48"/>
      <c r="R151" s="48"/>
    </row>
    <row r="152" spans="1:18" x14ac:dyDescent="0.2">
      <c r="A152" s="48"/>
      <c r="B152" s="48"/>
      <c r="C152" s="48"/>
      <c r="D152" s="48"/>
      <c r="E152" s="48"/>
      <c r="F152" s="48"/>
      <c r="G152" s="48"/>
      <c r="H152" s="48"/>
      <c r="I152" s="48"/>
      <c r="J152" s="48"/>
      <c r="K152" s="48"/>
      <c r="L152" s="48"/>
      <c r="M152" s="48"/>
      <c r="N152" s="48"/>
      <c r="O152" s="48"/>
      <c r="P152" s="48"/>
      <c r="Q152" s="48"/>
      <c r="R152" s="48"/>
    </row>
    <row r="153" spans="1:18" x14ac:dyDescent="0.2">
      <c r="A153" s="48"/>
      <c r="B153" s="48"/>
      <c r="C153" s="48"/>
      <c r="D153" s="48"/>
      <c r="E153" s="48"/>
      <c r="F153" s="48"/>
      <c r="G153" s="48"/>
      <c r="H153" s="48"/>
      <c r="I153" s="48"/>
      <c r="J153" s="48"/>
      <c r="K153" s="48"/>
      <c r="L153" s="48"/>
      <c r="M153" s="48"/>
      <c r="N153" s="48"/>
      <c r="O153" s="48"/>
      <c r="P153" s="48"/>
      <c r="Q153" s="48"/>
      <c r="R153" s="48"/>
    </row>
    <row r="154" spans="1:18" x14ac:dyDescent="0.2">
      <c r="A154" s="48"/>
      <c r="B154" s="48"/>
      <c r="C154" s="48"/>
      <c r="D154" s="48"/>
      <c r="E154" s="48"/>
      <c r="F154" s="48"/>
      <c r="G154" s="48"/>
      <c r="H154" s="48"/>
      <c r="I154" s="48"/>
      <c r="J154" s="48"/>
      <c r="K154" s="48"/>
      <c r="L154" s="48"/>
      <c r="M154" s="48"/>
      <c r="N154" s="48"/>
      <c r="O154" s="48"/>
      <c r="P154" s="48"/>
      <c r="Q154" s="48"/>
      <c r="R154" s="48"/>
    </row>
    <row r="155" spans="1:18" x14ac:dyDescent="0.2">
      <c r="A155" s="48"/>
      <c r="B155" s="48"/>
      <c r="C155" s="48"/>
      <c r="D155" s="48"/>
      <c r="E155" s="48"/>
      <c r="F155" s="48"/>
      <c r="G155" s="48"/>
      <c r="H155" s="48"/>
      <c r="I155" s="48"/>
      <c r="J155" s="48"/>
      <c r="K155" s="48"/>
      <c r="L155" s="48"/>
      <c r="M155" s="48"/>
      <c r="N155" s="48"/>
      <c r="O155" s="48"/>
      <c r="P155" s="48"/>
      <c r="Q155" s="48"/>
      <c r="R155" s="48"/>
    </row>
    <row r="156" spans="1:18" x14ac:dyDescent="0.2">
      <c r="A156" s="48"/>
      <c r="B156" s="48"/>
      <c r="C156" s="48"/>
      <c r="D156" s="48"/>
      <c r="E156" s="48"/>
      <c r="F156" s="48"/>
      <c r="G156" s="48"/>
      <c r="H156" s="48"/>
      <c r="I156" s="48"/>
      <c r="J156" s="48"/>
      <c r="K156" s="48"/>
      <c r="L156" s="48"/>
      <c r="M156" s="48"/>
      <c r="N156" s="48"/>
      <c r="O156" s="48"/>
      <c r="P156" s="48"/>
      <c r="Q156" s="48"/>
      <c r="R156" s="48"/>
    </row>
    <row r="157" spans="1:18" x14ac:dyDescent="0.2">
      <c r="A157" s="48"/>
      <c r="B157" s="48"/>
      <c r="C157" s="48"/>
      <c r="D157" s="48"/>
      <c r="E157" s="48"/>
      <c r="F157" s="48"/>
      <c r="G157" s="48"/>
      <c r="H157" s="48"/>
      <c r="I157" s="48"/>
      <c r="J157" s="48"/>
      <c r="K157" s="48"/>
      <c r="L157" s="48"/>
      <c r="M157" s="48"/>
      <c r="N157" s="48"/>
      <c r="O157" s="48"/>
      <c r="P157" s="48"/>
      <c r="Q157" s="48"/>
      <c r="R157" s="48"/>
    </row>
    <row r="158" spans="1:18" x14ac:dyDescent="0.2">
      <c r="A158" s="48"/>
      <c r="B158" s="48"/>
      <c r="C158" s="48"/>
      <c r="D158" s="48"/>
      <c r="E158" s="48"/>
      <c r="F158" s="48"/>
      <c r="G158" s="48"/>
      <c r="H158" s="48"/>
      <c r="I158" s="48"/>
      <c r="J158" s="48"/>
      <c r="K158" s="48"/>
      <c r="L158" s="48"/>
      <c r="M158" s="48"/>
      <c r="N158" s="48"/>
      <c r="O158" s="48"/>
      <c r="P158" s="48"/>
      <c r="Q158" s="48"/>
      <c r="R158" s="48"/>
    </row>
    <row r="159" spans="1:18" x14ac:dyDescent="0.2">
      <c r="A159" s="48"/>
      <c r="B159" s="48"/>
      <c r="C159" s="48"/>
      <c r="D159" s="48"/>
      <c r="E159" s="48"/>
      <c r="F159" s="48"/>
      <c r="G159" s="48"/>
      <c r="H159" s="48"/>
      <c r="I159" s="48"/>
      <c r="J159" s="48"/>
      <c r="K159" s="48"/>
      <c r="L159" s="48"/>
      <c r="M159" s="48"/>
      <c r="N159" s="48"/>
      <c r="O159" s="48"/>
      <c r="P159" s="48"/>
      <c r="Q159" s="48"/>
      <c r="R159" s="48"/>
    </row>
    <row r="160" spans="1:18" x14ac:dyDescent="0.2">
      <c r="A160" s="48"/>
      <c r="B160" s="48"/>
      <c r="C160" s="48"/>
      <c r="D160" s="48"/>
      <c r="E160" s="48"/>
      <c r="F160" s="48"/>
      <c r="G160" s="48"/>
      <c r="H160" s="48"/>
      <c r="I160" s="48"/>
      <c r="J160" s="48"/>
      <c r="K160" s="48"/>
      <c r="L160" s="48"/>
      <c r="M160" s="48"/>
      <c r="N160" s="48"/>
      <c r="O160" s="48"/>
      <c r="P160" s="48"/>
      <c r="Q160" s="48"/>
      <c r="R160" s="48"/>
    </row>
    <row r="161" spans="1:18" x14ac:dyDescent="0.2">
      <c r="A161" s="48"/>
      <c r="B161" s="48"/>
      <c r="C161" s="48"/>
      <c r="D161" s="48"/>
      <c r="E161" s="48"/>
      <c r="F161" s="48"/>
      <c r="G161" s="48"/>
      <c r="H161" s="48"/>
      <c r="I161" s="48"/>
      <c r="J161" s="48"/>
      <c r="K161" s="48"/>
      <c r="L161" s="48"/>
      <c r="M161" s="48"/>
      <c r="N161" s="48"/>
      <c r="O161" s="48"/>
      <c r="P161" s="48"/>
      <c r="Q161" s="48"/>
      <c r="R161" s="48"/>
    </row>
    <row r="162" spans="1:18" x14ac:dyDescent="0.2">
      <c r="A162" s="48"/>
      <c r="B162" s="48"/>
      <c r="C162" s="48"/>
      <c r="D162" s="48"/>
      <c r="E162" s="48"/>
      <c r="F162" s="48"/>
      <c r="G162" s="48"/>
      <c r="H162" s="48"/>
      <c r="I162" s="48"/>
      <c r="J162" s="48"/>
      <c r="K162" s="48"/>
      <c r="L162" s="48"/>
      <c r="M162" s="48"/>
      <c r="N162" s="48"/>
      <c r="O162" s="48"/>
      <c r="P162" s="48"/>
      <c r="Q162" s="48"/>
      <c r="R162" s="48"/>
    </row>
    <row r="163" spans="1:18" x14ac:dyDescent="0.2">
      <c r="A163" s="48"/>
      <c r="B163" s="48"/>
      <c r="C163" s="48"/>
      <c r="D163" s="48"/>
      <c r="E163" s="48"/>
      <c r="F163" s="48"/>
      <c r="G163" s="48"/>
      <c r="H163" s="48"/>
      <c r="I163" s="48"/>
      <c r="J163" s="48"/>
      <c r="K163" s="48"/>
      <c r="L163" s="48"/>
      <c r="M163" s="48"/>
      <c r="N163" s="48"/>
      <c r="O163" s="48"/>
      <c r="P163" s="48"/>
      <c r="Q163" s="48"/>
      <c r="R163" s="48"/>
    </row>
    <row r="164" spans="1:18" x14ac:dyDescent="0.2">
      <c r="A164" s="48"/>
      <c r="B164" s="48"/>
      <c r="C164" s="48"/>
      <c r="D164" s="48"/>
      <c r="E164" s="48"/>
      <c r="F164" s="48"/>
      <c r="G164" s="48"/>
      <c r="H164" s="48"/>
      <c r="I164" s="48"/>
      <c r="J164" s="48"/>
      <c r="K164" s="48"/>
      <c r="L164" s="48"/>
      <c r="M164" s="48"/>
      <c r="N164" s="48"/>
      <c r="O164" s="48"/>
      <c r="P164" s="48"/>
      <c r="Q164" s="48"/>
      <c r="R164" s="48"/>
    </row>
    <row r="165" spans="1:18" x14ac:dyDescent="0.2">
      <c r="A165" s="48"/>
      <c r="B165" s="48"/>
      <c r="C165" s="48"/>
      <c r="D165" s="48"/>
      <c r="E165" s="48"/>
      <c r="F165" s="48"/>
      <c r="G165" s="48"/>
      <c r="H165" s="48"/>
      <c r="I165" s="48"/>
      <c r="J165" s="48"/>
      <c r="K165" s="48"/>
      <c r="L165" s="48"/>
      <c r="M165" s="48"/>
      <c r="N165" s="48"/>
      <c r="O165" s="48"/>
      <c r="P165" s="48"/>
      <c r="Q165" s="48"/>
      <c r="R165" s="48"/>
    </row>
    <row r="166" spans="1:18" x14ac:dyDescent="0.2">
      <c r="A166" s="48"/>
      <c r="B166" s="48"/>
      <c r="C166" s="48"/>
      <c r="D166" s="48"/>
      <c r="E166" s="48"/>
      <c r="F166" s="48"/>
      <c r="G166" s="48"/>
      <c r="H166" s="48"/>
      <c r="I166" s="48"/>
      <c r="J166" s="48"/>
      <c r="K166" s="48"/>
      <c r="L166" s="48"/>
      <c r="M166" s="48"/>
      <c r="N166" s="48"/>
      <c r="O166" s="48"/>
      <c r="P166" s="48"/>
      <c r="Q166" s="48"/>
      <c r="R166" s="48"/>
    </row>
    <row r="167" spans="1:18" x14ac:dyDescent="0.2">
      <c r="A167" s="48"/>
      <c r="B167" s="48"/>
      <c r="C167" s="48"/>
      <c r="D167" s="48"/>
      <c r="E167" s="48"/>
      <c r="F167" s="48"/>
      <c r="G167" s="48"/>
      <c r="H167" s="48"/>
      <c r="I167" s="48"/>
      <c r="J167" s="48"/>
      <c r="K167" s="48"/>
      <c r="L167" s="48"/>
      <c r="M167" s="48"/>
      <c r="N167" s="48"/>
      <c r="O167" s="48"/>
      <c r="P167" s="48"/>
      <c r="Q167" s="48"/>
      <c r="R167" s="48"/>
    </row>
    <row r="168" spans="1:18" x14ac:dyDescent="0.2">
      <c r="A168" s="48"/>
      <c r="B168" s="48"/>
      <c r="C168" s="48"/>
      <c r="D168" s="48"/>
      <c r="E168" s="48"/>
      <c r="F168" s="48"/>
      <c r="G168" s="48"/>
      <c r="H168" s="48"/>
      <c r="I168" s="48"/>
      <c r="J168" s="48"/>
      <c r="K168" s="48"/>
      <c r="L168" s="48"/>
      <c r="M168" s="48"/>
      <c r="N168" s="48"/>
      <c r="O168" s="48"/>
      <c r="P168" s="48"/>
      <c r="Q168" s="48"/>
      <c r="R168" s="48"/>
    </row>
    <row r="169" spans="1:18" x14ac:dyDescent="0.2">
      <c r="A169" s="48"/>
      <c r="B169" s="48"/>
      <c r="C169" s="48"/>
      <c r="D169" s="48"/>
      <c r="E169" s="48"/>
      <c r="F169" s="48"/>
      <c r="G169" s="48"/>
      <c r="H169" s="48"/>
      <c r="I169" s="48"/>
      <c r="J169" s="48"/>
      <c r="K169" s="48"/>
      <c r="L169" s="48"/>
      <c r="M169" s="48"/>
      <c r="N169" s="48"/>
      <c r="O169" s="48"/>
      <c r="P169" s="48"/>
      <c r="Q169" s="48"/>
      <c r="R169" s="48"/>
    </row>
    <row r="170" spans="1:18" x14ac:dyDescent="0.2">
      <c r="A170" s="48"/>
      <c r="B170" s="48"/>
      <c r="C170" s="48"/>
      <c r="D170" s="48"/>
      <c r="E170" s="48"/>
      <c r="F170" s="48"/>
      <c r="G170" s="48"/>
      <c r="H170" s="48"/>
      <c r="I170" s="48"/>
      <c r="J170" s="48"/>
      <c r="K170" s="48"/>
      <c r="L170" s="48"/>
      <c r="M170" s="48"/>
      <c r="N170" s="48"/>
      <c r="O170" s="48"/>
      <c r="P170" s="48"/>
      <c r="Q170" s="48"/>
      <c r="R170" s="48"/>
    </row>
    <row r="171" spans="1:18" x14ac:dyDescent="0.2">
      <c r="A171" s="48"/>
      <c r="B171" s="48"/>
      <c r="C171" s="48"/>
      <c r="D171" s="48"/>
      <c r="E171" s="48"/>
      <c r="F171" s="48"/>
      <c r="G171" s="48"/>
      <c r="H171" s="48"/>
      <c r="I171" s="48"/>
      <c r="J171" s="48"/>
      <c r="K171" s="48"/>
      <c r="L171" s="48"/>
      <c r="M171" s="48"/>
      <c r="N171" s="48"/>
      <c r="O171" s="48"/>
      <c r="P171" s="48"/>
      <c r="Q171" s="48"/>
      <c r="R171" s="48"/>
    </row>
    <row r="172" spans="1:18" x14ac:dyDescent="0.2">
      <c r="A172" s="48"/>
      <c r="B172" s="48"/>
      <c r="C172" s="48"/>
      <c r="D172" s="48"/>
      <c r="E172" s="48"/>
      <c r="F172" s="48"/>
      <c r="G172" s="48"/>
      <c r="H172" s="48"/>
      <c r="I172" s="48"/>
      <c r="J172" s="48"/>
      <c r="K172" s="48"/>
      <c r="L172" s="48"/>
      <c r="M172" s="48"/>
      <c r="N172" s="48"/>
      <c r="O172" s="48"/>
      <c r="P172" s="48"/>
      <c r="Q172" s="48"/>
      <c r="R172" s="48"/>
    </row>
    <row r="173" spans="1:18" x14ac:dyDescent="0.2">
      <c r="A173" s="48"/>
      <c r="B173" s="48"/>
      <c r="C173" s="48"/>
      <c r="D173" s="48"/>
      <c r="E173" s="48"/>
      <c r="F173" s="48"/>
      <c r="G173" s="48"/>
      <c r="H173" s="48"/>
      <c r="I173" s="48"/>
      <c r="J173" s="48"/>
      <c r="K173" s="48"/>
      <c r="L173" s="48"/>
      <c r="M173" s="48"/>
      <c r="N173" s="48"/>
      <c r="O173" s="48"/>
      <c r="P173" s="48"/>
      <c r="Q173" s="48"/>
      <c r="R173" s="48"/>
    </row>
    <row r="174" spans="1:18" x14ac:dyDescent="0.2">
      <c r="A174" s="48"/>
      <c r="B174" s="48"/>
      <c r="C174" s="48"/>
      <c r="D174" s="48"/>
      <c r="E174" s="48"/>
      <c r="F174" s="48"/>
      <c r="G174" s="48"/>
      <c r="H174" s="48"/>
      <c r="I174" s="48"/>
      <c r="J174" s="48"/>
      <c r="K174" s="48"/>
      <c r="L174" s="48"/>
      <c r="M174" s="48"/>
      <c r="N174" s="48"/>
      <c r="O174" s="48"/>
      <c r="P174" s="48"/>
      <c r="Q174" s="48"/>
      <c r="R174" s="48"/>
    </row>
    <row r="175" spans="1:18" x14ac:dyDescent="0.2">
      <c r="A175" s="48"/>
      <c r="B175" s="48"/>
      <c r="C175" s="48"/>
      <c r="D175" s="48"/>
      <c r="E175" s="48"/>
      <c r="F175" s="48"/>
      <c r="G175" s="48"/>
      <c r="H175" s="48"/>
      <c r="I175" s="48"/>
      <c r="J175" s="48"/>
      <c r="K175" s="48"/>
      <c r="L175" s="48"/>
      <c r="M175" s="48"/>
      <c r="N175" s="48"/>
      <c r="O175" s="48"/>
      <c r="P175" s="48"/>
      <c r="Q175" s="48"/>
      <c r="R175" s="48"/>
    </row>
    <row r="176" spans="1:18" x14ac:dyDescent="0.2">
      <c r="A176" s="48"/>
      <c r="B176" s="48"/>
      <c r="C176" s="48"/>
      <c r="D176" s="48"/>
      <c r="E176" s="48"/>
      <c r="F176" s="48"/>
      <c r="G176" s="48"/>
      <c r="H176" s="48"/>
      <c r="I176" s="48"/>
      <c r="J176" s="48"/>
      <c r="K176" s="48"/>
      <c r="L176" s="48"/>
      <c r="M176" s="48"/>
      <c r="N176" s="48"/>
      <c r="O176" s="48"/>
      <c r="P176" s="48"/>
      <c r="Q176" s="48"/>
      <c r="R176" s="48"/>
    </row>
    <row r="177" spans="1:18" x14ac:dyDescent="0.2">
      <c r="A177" s="48"/>
      <c r="B177" s="48"/>
      <c r="C177" s="48"/>
      <c r="D177" s="48"/>
      <c r="E177" s="48"/>
      <c r="F177" s="48"/>
      <c r="G177" s="48"/>
      <c r="H177" s="48"/>
      <c r="I177" s="48"/>
      <c r="J177" s="48"/>
      <c r="K177" s="48"/>
      <c r="L177" s="48"/>
      <c r="M177" s="48"/>
      <c r="N177" s="48"/>
      <c r="O177" s="48"/>
      <c r="P177" s="48"/>
      <c r="Q177" s="48"/>
      <c r="R177" s="48"/>
    </row>
    <row r="178" spans="1:18" x14ac:dyDescent="0.2">
      <c r="A178" s="48"/>
      <c r="B178" s="48"/>
      <c r="C178" s="48"/>
      <c r="D178" s="48"/>
      <c r="E178" s="48"/>
      <c r="F178" s="48"/>
      <c r="G178" s="48"/>
      <c r="H178" s="48"/>
      <c r="I178" s="48"/>
      <c r="J178" s="48"/>
      <c r="K178" s="48"/>
      <c r="L178" s="48"/>
      <c r="M178" s="48"/>
      <c r="N178" s="48"/>
      <c r="O178" s="48"/>
      <c r="P178" s="48"/>
      <c r="Q178" s="48"/>
      <c r="R178" s="48"/>
    </row>
    <row r="179" spans="1:18" x14ac:dyDescent="0.2">
      <c r="A179" s="48"/>
      <c r="B179" s="48"/>
      <c r="C179" s="48"/>
      <c r="D179" s="48"/>
      <c r="E179" s="48"/>
      <c r="F179" s="48"/>
      <c r="G179" s="48"/>
      <c r="H179" s="48"/>
      <c r="I179" s="48"/>
      <c r="J179" s="48"/>
      <c r="K179" s="48"/>
      <c r="L179" s="48"/>
      <c r="M179" s="48"/>
      <c r="N179" s="48"/>
      <c r="O179" s="48"/>
      <c r="P179" s="48"/>
      <c r="Q179" s="48"/>
      <c r="R179" s="48"/>
    </row>
    <row r="180" spans="1:18" x14ac:dyDescent="0.2">
      <c r="A180" s="48"/>
      <c r="B180" s="48"/>
      <c r="C180" s="48"/>
      <c r="D180" s="48"/>
      <c r="E180" s="48"/>
      <c r="F180" s="48"/>
      <c r="G180" s="48"/>
      <c r="H180" s="48"/>
      <c r="I180" s="48"/>
      <c r="J180" s="48"/>
      <c r="K180" s="48"/>
      <c r="L180" s="48"/>
      <c r="M180" s="48"/>
      <c r="N180" s="48"/>
      <c r="O180" s="48"/>
      <c r="P180" s="48"/>
      <c r="Q180" s="48"/>
      <c r="R180" s="48"/>
    </row>
    <row r="181" spans="1:18" x14ac:dyDescent="0.2">
      <c r="A181" s="48"/>
      <c r="B181" s="48"/>
      <c r="C181" s="48"/>
      <c r="D181" s="48"/>
      <c r="E181" s="48"/>
      <c r="F181" s="48"/>
      <c r="G181" s="48"/>
      <c r="H181" s="48"/>
      <c r="I181" s="48"/>
      <c r="J181" s="48"/>
      <c r="K181" s="48"/>
      <c r="L181" s="48"/>
      <c r="M181" s="48"/>
      <c r="N181" s="48"/>
      <c r="O181" s="48"/>
      <c r="P181" s="48"/>
      <c r="Q181" s="48"/>
      <c r="R181" s="48"/>
    </row>
    <row r="182" spans="1:18" x14ac:dyDescent="0.2">
      <c r="A182" s="48"/>
      <c r="B182" s="48"/>
      <c r="C182" s="48"/>
      <c r="D182" s="48"/>
      <c r="E182" s="48"/>
      <c r="F182" s="48"/>
      <c r="G182" s="48"/>
      <c r="H182" s="48"/>
      <c r="I182" s="48"/>
      <c r="J182" s="48"/>
      <c r="K182" s="48"/>
      <c r="L182" s="48"/>
      <c r="M182" s="48"/>
      <c r="N182" s="48"/>
      <c r="O182" s="48"/>
      <c r="P182" s="48"/>
      <c r="Q182" s="48"/>
      <c r="R182" s="48"/>
    </row>
    <row r="183" spans="1:18" x14ac:dyDescent="0.2">
      <c r="A183" s="48"/>
      <c r="B183" s="48"/>
      <c r="C183" s="48"/>
      <c r="D183" s="48"/>
      <c r="E183" s="48"/>
      <c r="F183" s="48"/>
      <c r="G183" s="48"/>
      <c r="H183" s="48"/>
      <c r="I183" s="48"/>
      <c r="J183" s="48"/>
      <c r="K183" s="48"/>
      <c r="L183" s="48"/>
      <c r="M183" s="48"/>
      <c r="N183" s="48"/>
      <c r="O183" s="48"/>
      <c r="P183" s="48"/>
      <c r="Q183" s="48"/>
      <c r="R183" s="48"/>
    </row>
    <row r="184" spans="1:18" x14ac:dyDescent="0.2">
      <c r="A184" s="48"/>
      <c r="B184" s="48"/>
      <c r="C184" s="48"/>
      <c r="D184" s="48"/>
      <c r="E184" s="48"/>
      <c r="F184" s="48"/>
      <c r="G184" s="48"/>
      <c r="H184" s="48"/>
      <c r="I184" s="48"/>
      <c r="J184" s="48"/>
      <c r="K184" s="48"/>
      <c r="L184" s="48"/>
      <c r="M184" s="48"/>
      <c r="N184" s="48"/>
      <c r="O184" s="48"/>
      <c r="P184" s="48"/>
      <c r="Q184" s="48"/>
      <c r="R184" s="48"/>
    </row>
  </sheetData>
  <mergeCells count="53">
    <mergeCell ref="AB2:AF2"/>
    <mergeCell ref="A3:AE3"/>
    <mergeCell ref="C5:H5"/>
    <mergeCell ref="R5:S5"/>
    <mergeCell ref="T5:U5"/>
    <mergeCell ref="Z5:AA5"/>
    <mergeCell ref="AB5:AC5"/>
    <mergeCell ref="AD5:AE5"/>
    <mergeCell ref="V5:W5"/>
    <mergeCell ref="X5:Y5"/>
    <mergeCell ref="I5:Q5"/>
    <mergeCell ref="AG5:AH5"/>
    <mergeCell ref="AG6:AH7"/>
    <mergeCell ref="AI5:AJ5"/>
    <mergeCell ref="AI6:AJ7"/>
    <mergeCell ref="AX7:AX9"/>
    <mergeCell ref="AT5:AT9"/>
    <mergeCell ref="AN7:AO7"/>
    <mergeCell ref="AP7:AQ7"/>
    <mergeCell ref="AS5:AS9"/>
    <mergeCell ref="AR5:AR9"/>
    <mergeCell ref="AY7:AY9"/>
    <mergeCell ref="AK5:AK9"/>
    <mergeCell ref="AL5:AQ5"/>
    <mergeCell ref="AL6:AQ6"/>
    <mergeCell ref="AL7:AM7"/>
    <mergeCell ref="A19:B19"/>
    <mergeCell ref="A6:A9"/>
    <mergeCell ref="B6:B9"/>
    <mergeCell ref="C6:D7"/>
    <mergeCell ref="E6:E9"/>
    <mergeCell ref="C23:D23"/>
    <mergeCell ref="U23:AA23"/>
    <mergeCell ref="AC23:AF23"/>
    <mergeCell ref="R6:S7"/>
    <mergeCell ref="T6:U7"/>
    <mergeCell ref="V6:W7"/>
    <mergeCell ref="H6:H9"/>
    <mergeCell ref="G6:G9"/>
    <mergeCell ref="F6:F7"/>
    <mergeCell ref="W27:AF27"/>
    <mergeCell ref="AF5:AF9"/>
    <mergeCell ref="K6:L6"/>
    <mergeCell ref="AB28:AF28"/>
    <mergeCell ref="AB6:AC7"/>
    <mergeCell ref="AD6:AE7"/>
    <mergeCell ref="X6:Y7"/>
    <mergeCell ref="Z6:AA7"/>
    <mergeCell ref="AE24:AF24"/>
    <mergeCell ref="V25:AB25"/>
    <mergeCell ref="V26:AF26"/>
    <mergeCell ref="M6:O6"/>
    <mergeCell ref="Q7:Q9"/>
  </mergeCells>
  <phoneticPr fontId="23" type="noConversion"/>
  <pageMargins left="0.25" right="0.25" top="0.75" bottom="0.75" header="0.3" footer="0.3"/>
  <pageSetup paperSize="9" scale="80" orientation="landscape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184"/>
  <sheetViews>
    <sheetView topLeftCell="A2" zoomScale="95" zoomScaleNormal="95" workbookViewId="0">
      <selection activeCell="N16" sqref="N16"/>
    </sheetView>
  </sheetViews>
  <sheetFormatPr defaultColWidth="13" defaultRowHeight="11.25" x14ac:dyDescent="0.2"/>
  <cols>
    <col min="1" max="1" width="2.85546875" style="1" customWidth="1"/>
    <col min="2" max="2" width="15.42578125" style="1" customWidth="1"/>
    <col min="3" max="3" width="4.5703125" style="1" customWidth="1"/>
    <col min="4" max="4" width="7" style="1" customWidth="1"/>
    <col min="5" max="5" width="6.42578125" style="1" customWidth="1"/>
    <col min="6" max="6" width="9.42578125" style="1" customWidth="1"/>
    <col min="7" max="7" width="8.5703125" style="1" customWidth="1"/>
    <col min="8" max="8" width="7.28515625" style="1" customWidth="1"/>
    <col min="9" max="9" width="7.140625" style="1" customWidth="1"/>
    <col min="10" max="11" width="6.28515625" style="1" customWidth="1"/>
    <col min="12" max="12" width="6.140625" style="1" customWidth="1"/>
    <col min="13" max="13" width="7" style="1" customWidth="1"/>
    <col min="14" max="14" width="5.5703125" style="1" customWidth="1"/>
    <col min="15" max="15" width="6.5703125" style="1" customWidth="1"/>
    <col min="16" max="16" width="8.28515625" style="1" customWidth="1"/>
    <col min="17" max="17" width="3.7109375" style="1" customWidth="1"/>
    <col min="18" max="18" width="5.7109375" style="1" customWidth="1"/>
    <col min="19" max="19" width="3.140625" style="1" customWidth="1"/>
    <col min="20" max="20" width="5" style="1" customWidth="1"/>
    <col min="21" max="21" width="5.28515625" style="1" customWidth="1"/>
    <col min="22" max="22" width="7.7109375" style="1" customWidth="1"/>
    <col min="23" max="23" width="3.42578125" style="1" customWidth="1"/>
    <col min="24" max="24" width="4.7109375" style="1" customWidth="1"/>
    <col min="25" max="25" width="4.140625" style="1" customWidth="1"/>
    <col min="26" max="26" width="6" style="1" customWidth="1"/>
    <col min="27" max="27" width="6.5703125" style="1" customWidth="1"/>
    <col min="28" max="28" width="5.7109375" style="1" customWidth="1"/>
    <col min="29" max="29" width="4.28515625" style="1" customWidth="1"/>
    <col min="30" max="30" width="6.5703125" style="1" customWidth="1"/>
    <col min="31" max="31" width="10.140625" style="1" customWidth="1"/>
    <col min="32" max="32" width="7" style="1" customWidth="1"/>
    <col min="33" max="33" width="7.85546875" style="1" customWidth="1"/>
    <col min="34" max="36" width="8.42578125" style="1" customWidth="1"/>
    <col min="37" max="37" width="5" style="1" customWidth="1"/>
    <col min="38" max="38" width="5.85546875" style="1" customWidth="1"/>
    <col min="39" max="39" width="4.140625" style="1" customWidth="1"/>
    <col min="40" max="40" width="5.42578125" style="1" customWidth="1"/>
    <col min="41" max="41" width="8.7109375" style="1" customWidth="1"/>
    <col min="42" max="43" width="8.28515625" style="1" customWidth="1"/>
    <col min="44" max="44" width="10.140625" style="1" customWidth="1"/>
    <col min="45" max="45" width="5.42578125" style="1" customWidth="1"/>
    <col min="46" max="46" width="6.7109375" style="1" customWidth="1"/>
    <col min="47" max="16384" width="13" style="1"/>
  </cols>
  <sheetData>
    <row r="1" spans="1:53" ht="14.25" customHeight="1" x14ac:dyDescent="0.2">
      <c r="AE1" s="56" t="s">
        <v>0</v>
      </c>
      <c r="AF1" s="56"/>
      <c r="AG1" s="56"/>
      <c r="AH1" s="56"/>
      <c r="AI1" s="56"/>
      <c r="AJ1" s="56"/>
      <c r="AK1" s="56"/>
      <c r="AL1" s="56"/>
      <c r="AM1" s="56"/>
      <c r="AN1" s="56"/>
      <c r="AO1" s="56"/>
      <c r="AP1" s="56"/>
      <c r="AQ1" s="56"/>
      <c r="AR1" s="56"/>
    </row>
    <row r="2" spans="1:53" ht="4.5" customHeight="1" x14ac:dyDescent="0.2">
      <c r="AA2" s="466"/>
      <c r="AB2" s="466"/>
      <c r="AC2" s="466"/>
      <c r="AD2" s="466"/>
      <c r="AE2" s="466"/>
    </row>
    <row r="3" spans="1:53" ht="55.5" customHeight="1" x14ac:dyDescent="0.2">
      <c r="A3" s="468" t="s">
        <v>33</v>
      </c>
      <c r="B3" s="468"/>
      <c r="C3" s="468"/>
      <c r="D3" s="468"/>
      <c r="E3" s="468"/>
      <c r="F3" s="468"/>
      <c r="G3" s="468"/>
      <c r="H3" s="468"/>
      <c r="I3" s="468"/>
      <c r="J3" s="468"/>
      <c r="K3" s="468"/>
      <c r="L3" s="468"/>
      <c r="M3" s="468"/>
      <c r="N3" s="468"/>
      <c r="O3" s="468"/>
      <c r="P3" s="468"/>
      <c r="Q3" s="468"/>
      <c r="R3" s="468"/>
      <c r="S3" s="468"/>
      <c r="T3" s="468"/>
      <c r="U3" s="468"/>
      <c r="V3" s="468"/>
      <c r="W3" s="468"/>
      <c r="X3" s="468"/>
      <c r="Y3" s="468"/>
      <c r="Z3" s="468"/>
      <c r="AA3" s="468"/>
      <c r="AB3" s="468"/>
      <c r="AC3" s="468"/>
      <c r="AD3" s="468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</row>
    <row r="4" spans="1:53" ht="6" customHeight="1" thickBo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</row>
    <row r="5" spans="1:53" ht="30" customHeight="1" x14ac:dyDescent="0.2">
      <c r="A5" s="4"/>
      <c r="B5" s="5"/>
      <c r="C5" s="454" t="s">
        <v>1</v>
      </c>
      <c r="D5" s="467"/>
      <c r="E5" s="467"/>
      <c r="F5" s="467"/>
      <c r="G5" s="467"/>
      <c r="H5" s="455"/>
      <c r="I5" s="544" t="s">
        <v>39</v>
      </c>
      <c r="J5" s="545"/>
      <c r="K5" s="545"/>
      <c r="L5" s="545"/>
      <c r="M5" s="545"/>
      <c r="N5" s="545"/>
      <c r="O5" s="546"/>
      <c r="P5" s="117"/>
      <c r="Q5" s="454" t="s">
        <v>2</v>
      </c>
      <c r="R5" s="455"/>
      <c r="S5" s="454" t="s">
        <v>2</v>
      </c>
      <c r="T5" s="455"/>
      <c r="U5" s="456" t="s">
        <v>2</v>
      </c>
      <c r="V5" s="456"/>
      <c r="W5" s="456" t="s">
        <v>2</v>
      </c>
      <c r="X5" s="456"/>
      <c r="Y5" s="454" t="s">
        <v>2</v>
      </c>
      <c r="Z5" s="467"/>
      <c r="AA5" s="456" t="s">
        <v>2</v>
      </c>
      <c r="AB5" s="456"/>
      <c r="AC5" s="456" t="s">
        <v>2</v>
      </c>
      <c r="AD5" s="454"/>
      <c r="AE5" s="547" t="s">
        <v>3</v>
      </c>
      <c r="AF5" s="538" t="str">
        <f>'гориво_бр. деца'!AG5</f>
        <v>100% от средствата</v>
      </c>
      <c r="AG5" s="538"/>
      <c r="AH5" s="538" t="str">
        <f>'гориво_бр. деца'!AI5</f>
        <v>100% от средствата</v>
      </c>
      <c r="AI5" s="538"/>
      <c r="AJ5" s="550" t="str">
        <f>'гориво_бр. деца'!AK5</f>
        <v>Всичко средства по държавна  дейност 338</v>
      </c>
      <c r="AK5" s="538" t="str">
        <f>'гориво_бр. деца'!AL5</f>
        <v>100% от средствата</v>
      </c>
      <c r="AL5" s="538"/>
      <c r="AM5" s="538"/>
      <c r="AN5" s="538"/>
      <c r="AO5" s="538"/>
      <c r="AP5" s="538"/>
      <c r="AQ5" s="538" t="str">
        <f>'гориво_бр. деца'!AR5</f>
        <v>Всичко средства по държавна  дейност 389</v>
      </c>
      <c r="AR5" s="538" t="str">
        <f>'гориво_бр. деца'!AS5</f>
        <v>Всичко за училището</v>
      </c>
      <c r="AS5" s="512" t="s">
        <v>38</v>
      </c>
      <c r="AT5" s="6"/>
    </row>
    <row r="6" spans="1:53" ht="15.75" customHeight="1" x14ac:dyDescent="0.2">
      <c r="A6" s="482" t="s">
        <v>4</v>
      </c>
      <c r="B6" s="491" t="s">
        <v>5</v>
      </c>
      <c r="C6" s="521" t="s">
        <v>31</v>
      </c>
      <c r="D6" s="531"/>
      <c r="E6" s="533" t="s">
        <v>32</v>
      </c>
      <c r="F6" s="492" t="s">
        <v>6</v>
      </c>
      <c r="G6" s="494" t="s">
        <v>7</v>
      </c>
      <c r="H6" s="530" t="s">
        <v>7</v>
      </c>
      <c r="I6" s="141"/>
      <c r="J6" s="141"/>
      <c r="K6" s="525">
        <v>47089.35</v>
      </c>
      <c r="L6" s="526"/>
      <c r="M6" s="526"/>
      <c r="N6" s="527"/>
      <c r="O6" s="121"/>
      <c r="P6" s="123"/>
      <c r="Q6" s="515" t="s">
        <v>8</v>
      </c>
      <c r="R6" s="516"/>
      <c r="S6" s="515" t="s">
        <v>9</v>
      </c>
      <c r="T6" s="516"/>
      <c r="U6" s="515" t="s">
        <v>10</v>
      </c>
      <c r="V6" s="516"/>
      <c r="W6" s="515" t="s">
        <v>35</v>
      </c>
      <c r="X6" s="516"/>
      <c r="Y6" s="521" t="s">
        <v>11</v>
      </c>
      <c r="Z6" s="522"/>
      <c r="AA6" s="515" t="s">
        <v>12</v>
      </c>
      <c r="AB6" s="516"/>
      <c r="AC6" s="515" t="s">
        <v>13</v>
      </c>
      <c r="AD6" s="519"/>
      <c r="AE6" s="548"/>
      <c r="AF6" s="538" t="str">
        <f>'гориво_бр. деца'!AG6</f>
        <v>Норматив за създаване на условия за приобщ. Обр.</v>
      </c>
      <c r="AG6" s="538"/>
      <c r="AH6" s="538" t="e">
        <f>'гориво_бр. деца'!AI6</f>
        <v>#REF!</v>
      </c>
      <c r="AI6" s="538"/>
      <c r="AJ6" s="550"/>
      <c r="AK6" s="538" t="str">
        <f>'гориво_бр. деца'!AL6</f>
        <v>допълващ стандарт за поддръжка на автобуси</v>
      </c>
      <c r="AL6" s="538"/>
      <c r="AM6" s="538"/>
      <c r="AN6" s="538"/>
      <c r="AO6" s="538"/>
      <c r="AP6" s="538"/>
      <c r="AQ6" s="538"/>
      <c r="AR6" s="538"/>
      <c r="AS6" s="512"/>
      <c r="AT6" s="6"/>
    </row>
    <row r="7" spans="1:53" ht="42.75" customHeight="1" x14ac:dyDescent="0.2">
      <c r="A7" s="482"/>
      <c r="B7" s="491"/>
      <c r="C7" s="523"/>
      <c r="D7" s="532"/>
      <c r="E7" s="534"/>
      <c r="F7" s="493"/>
      <c r="G7" s="494"/>
      <c r="H7" s="530"/>
      <c r="I7" s="119" t="s">
        <v>42</v>
      </c>
      <c r="J7" s="120" t="s">
        <v>38</v>
      </c>
      <c r="K7" s="140" t="s">
        <v>68</v>
      </c>
      <c r="L7" s="140" t="s">
        <v>69</v>
      </c>
      <c r="M7" s="140" t="s">
        <v>70</v>
      </c>
      <c r="N7" s="140" t="s">
        <v>71</v>
      </c>
      <c r="O7" s="140" t="s">
        <v>40</v>
      </c>
      <c r="P7" s="528" t="s">
        <v>41</v>
      </c>
      <c r="Q7" s="517"/>
      <c r="R7" s="518"/>
      <c r="S7" s="517"/>
      <c r="T7" s="518"/>
      <c r="U7" s="517"/>
      <c r="V7" s="518"/>
      <c r="W7" s="517"/>
      <c r="X7" s="518"/>
      <c r="Y7" s="523"/>
      <c r="Z7" s="524"/>
      <c r="AA7" s="517"/>
      <c r="AB7" s="518"/>
      <c r="AC7" s="517"/>
      <c r="AD7" s="520"/>
      <c r="AE7" s="548"/>
      <c r="AF7" s="538"/>
      <c r="AG7" s="538"/>
      <c r="AH7" s="538"/>
      <c r="AI7" s="538"/>
      <c r="AJ7" s="550"/>
      <c r="AK7" s="538" t="str">
        <f>'гориво_бр. деца'!AL7</f>
        <v>11÷15 м</v>
      </c>
      <c r="AL7" s="538"/>
      <c r="AM7" s="538" t="str">
        <f>'гориво_бр. деца'!AN7</f>
        <v xml:space="preserve"> 26÷29 м</v>
      </c>
      <c r="AN7" s="538"/>
      <c r="AO7" s="538" t="str">
        <f>'гориво_бр. деца'!AP7</f>
        <v>над 30 м</v>
      </c>
      <c r="AP7" s="538"/>
      <c r="AQ7" s="538"/>
      <c r="AR7" s="538"/>
      <c r="AS7" s="512"/>
      <c r="AT7" s="6"/>
      <c r="AV7" s="9"/>
      <c r="AW7" s="506"/>
      <c r="AX7" s="506"/>
      <c r="AY7" s="10"/>
      <c r="AZ7" s="9"/>
      <c r="BA7" s="9"/>
    </row>
    <row r="8" spans="1:53" ht="20.25" customHeight="1" x14ac:dyDescent="0.2">
      <c r="A8" s="482"/>
      <c r="B8" s="491"/>
      <c r="C8" s="198"/>
      <c r="D8" s="199"/>
      <c r="E8" s="534"/>
      <c r="F8" s="154"/>
      <c r="G8" s="494"/>
      <c r="H8" s="530"/>
      <c r="I8" s="119"/>
      <c r="J8" s="120"/>
      <c r="K8" s="140">
        <f>0.25795*K6</f>
        <v>12146.6978325</v>
      </c>
      <c r="L8" s="140">
        <f>0.13815*K6</f>
        <v>6505.3937024999996</v>
      </c>
      <c r="M8" s="140">
        <f>0.3339*K6</f>
        <v>15723.133964999999</v>
      </c>
      <c r="N8" s="140">
        <f>0.26993*K6</f>
        <v>12710.828245499999</v>
      </c>
      <c r="O8" s="140"/>
      <c r="P8" s="528"/>
      <c r="Q8" s="155"/>
      <c r="R8" s="156"/>
      <c r="S8" s="155"/>
      <c r="T8" s="156"/>
      <c r="U8" s="155"/>
      <c r="V8" s="156"/>
      <c r="W8" s="155"/>
      <c r="X8" s="156"/>
      <c r="Y8" s="158"/>
      <c r="Z8" s="159"/>
      <c r="AA8" s="155"/>
      <c r="AB8" s="156"/>
      <c r="AC8" s="155"/>
      <c r="AD8" s="157"/>
      <c r="AE8" s="548"/>
      <c r="AF8" s="14"/>
      <c r="AG8" s="14"/>
      <c r="AH8" s="14"/>
      <c r="AI8" s="14"/>
      <c r="AJ8" s="550"/>
      <c r="AK8" s="14"/>
      <c r="AL8" s="14"/>
      <c r="AM8" s="14"/>
      <c r="AN8" s="14"/>
      <c r="AO8" s="14"/>
      <c r="AP8" s="14"/>
      <c r="AQ8" s="538"/>
      <c r="AR8" s="538"/>
      <c r="AS8" s="512"/>
      <c r="AT8" s="6"/>
      <c r="AV8" s="9"/>
      <c r="AW8" s="506"/>
      <c r="AX8" s="506"/>
      <c r="AY8" s="10"/>
      <c r="AZ8" s="9"/>
      <c r="BA8" s="9"/>
    </row>
    <row r="9" spans="1:53" ht="63.75" customHeight="1" x14ac:dyDescent="0.2">
      <c r="A9" s="482"/>
      <c r="B9" s="491"/>
      <c r="C9" s="133" t="s">
        <v>14</v>
      </c>
      <c r="D9" s="134">
        <v>1611</v>
      </c>
      <c r="E9" s="535"/>
      <c r="F9" s="135">
        <v>4708935</v>
      </c>
      <c r="G9" s="494"/>
      <c r="H9" s="530"/>
      <c r="I9" s="115">
        <v>47089.35</v>
      </c>
      <c r="J9" s="121"/>
      <c r="K9" s="149" t="s">
        <v>46</v>
      </c>
      <c r="L9" s="149" t="s">
        <v>47</v>
      </c>
      <c r="M9" s="149" t="s">
        <v>48</v>
      </c>
      <c r="N9" s="149" t="s">
        <v>49</v>
      </c>
      <c r="O9" s="122"/>
      <c r="P9" s="529"/>
      <c r="Q9" s="125" t="s">
        <v>14</v>
      </c>
      <c r="R9" s="126">
        <v>373</v>
      </c>
      <c r="S9" s="125" t="s">
        <v>14</v>
      </c>
      <c r="T9" s="127">
        <v>3070</v>
      </c>
      <c r="U9" s="125" t="s">
        <v>14</v>
      </c>
      <c r="V9" s="127">
        <v>25</v>
      </c>
      <c r="W9" s="125" t="s">
        <v>14</v>
      </c>
      <c r="X9" s="127">
        <v>862</v>
      </c>
      <c r="Y9" s="125" t="s">
        <v>14</v>
      </c>
      <c r="Z9" s="125">
        <v>87</v>
      </c>
      <c r="AA9" s="125" t="s">
        <v>14</v>
      </c>
      <c r="AB9" s="127">
        <v>72</v>
      </c>
      <c r="AC9" s="125" t="s">
        <v>14</v>
      </c>
      <c r="AD9" s="128">
        <v>580</v>
      </c>
      <c r="AE9" s="549"/>
      <c r="AF9" s="14" t="str">
        <f>'гориво_бр. деца'!AG9</f>
        <v>брой ученици</v>
      </c>
      <c r="AG9" s="14">
        <f>'гориво_бр. деца'!AH9</f>
        <v>326</v>
      </c>
      <c r="AH9" s="14" t="e">
        <f>'гориво_бр. деца'!AI9</f>
        <v>#REF!</v>
      </c>
      <c r="AI9" s="14" t="e">
        <f>'гориво_бр. деца'!AJ9</f>
        <v>#REF!</v>
      </c>
      <c r="AJ9" s="550"/>
      <c r="AK9" s="14" t="str">
        <f>'гориво_бр. деца'!AL9</f>
        <v>бр. авт</v>
      </c>
      <c r="AL9" s="14">
        <f>'гориво_бр. деца'!AM9</f>
        <v>3000</v>
      </c>
      <c r="AM9" s="14" t="str">
        <f>'гориво_бр. деца'!AN9</f>
        <v>бр. авт</v>
      </c>
      <c r="AN9" s="14">
        <f>'гориво_бр. деца'!AO9</f>
        <v>5000</v>
      </c>
      <c r="AO9" s="14" t="str">
        <f>'гориво_бр. деца'!AP9</f>
        <v>бр. авт</v>
      </c>
      <c r="AP9" s="14">
        <f>'гориво_бр. деца'!AQ9</f>
        <v>6000</v>
      </c>
      <c r="AQ9" s="538"/>
      <c r="AR9" s="538"/>
      <c r="AS9" s="512"/>
      <c r="AT9" s="15"/>
      <c r="AV9" s="9"/>
      <c r="AW9" s="506"/>
      <c r="AX9" s="506"/>
      <c r="AY9" s="16"/>
      <c r="AZ9" s="9"/>
      <c r="BA9" s="9"/>
    </row>
    <row r="10" spans="1:53" ht="24" customHeight="1" x14ac:dyDescent="0.2">
      <c r="A10" s="80">
        <v>1</v>
      </c>
      <c r="B10" s="130" t="s">
        <v>15</v>
      </c>
      <c r="C10" s="82">
        <v>320</v>
      </c>
      <c r="D10" s="83">
        <f>$D$9*C10</f>
        <v>515520</v>
      </c>
      <c r="E10" s="83">
        <v>29000</v>
      </c>
      <c r="F10" s="84">
        <f t="shared" ref="F10:F18" si="0">$F$9*C10/$C$19</f>
        <v>488447.06645056728</v>
      </c>
      <c r="G10" s="85">
        <f>F10+E10</f>
        <v>517447.06645056728</v>
      </c>
      <c r="H10" s="83">
        <f>G10</f>
        <v>517447.06645056728</v>
      </c>
      <c r="I10" s="116">
        <f>F10-F10*1%</f>
        <v>483562.5957860616</v>
      </c>
      <c r="J10" s="129">
        <f>F10*1%</f>
        <v>4884.4706645056731</v>
      </c>
      <c r="K10" s="129"/>
      <c r="L10" s="129">
        <f>C10*L8/320</f>
        <v>6505.3937024999996</v>
      </c>
      <c r="M10" s="129"/>
      <c r="N10" s="129"/>
      <c r="O10" s="129">
        <f>SUM(K10:N10)</f>
        <v>6505.3937024999996</v>
      </c>
      <c r="P10" s="129">
        <f t="shared" ref="P10:P19" si="1">SUM(I10,O10)</f>
        <v>490067.98948856158</v>
      </c>
      <c r="Q10" s="82">
        <v>3</v>
      </c>
      <c r="R10" s="83">
        <f t="shared" ref="R10:R18" si="2">Q10*$R$9</f>
        <v>1119</v>
      </c>
      <c r="S10" s="83">
        <v>1</v>
      </c>
      <c r="T10" s="83">
        <f t="shared" ref="T10:T18" si="3">S10*$T$9</f>
        <v>3070</v>
      </c>
      <c r="U10" s="82">
        <f t="shared" ref="U10:U18" si="4">C10</f>
        <v>320</v>
      </c>
      <c r="V10" s="83">
        <f t="shared" ref="V10:V18" si="5">U10*$V$9</f>
        <v>8000</v>
      </c>
      <c r="W10" s="83"/>
      <c r="X10" s="83">
        <f t="shared" ref="X10:X18" si="6">W10*$X$9</f>
        <v>0</v>
      </c>
      <c r="Y10" s="87">
        <v>215</v>
      </c>
      <c r="Z10" s="87">
        <f t="shared" ref="Z10:Z18" si="7">Y10*$Z$9</f>
        <v>18705</v>
      </c>
      <c r="AA10" s="88"/>
      <c r="AB10" s="89"/>
      <c r="AC10" s="83"/>
      <c r="AD10" s="90">
        <f t="shared" ref="AD10:AD18" si="8">AC10*$AD$9</f>
        <v>0</v>
      </c>
      <c r="AE10" s="196">
        <f>P10+E10+R10+T10+V10+Z10+AB10+AD10+X10</f>
        <v>549961.98948856164</v>
      </c>
      <c r="AF10" s="174">
        <f>'гориво_бр. деца'!AG10</f>
        <v>1</v>
      </c>
      <c r="AG10" s="174">
        <f>'гориво_бр. деца'!AH10</f>
        <v>326</v>
      </c>
      <c r="AH10" s="174" t="e">
        <f>'гориво_бр. деца'!AI10</f>
        <v>#REF!</v>
      </c>
      <c r="AI10" s="174" t="e">
        <f>'гориво_бр. деца'!AJ10</f>
        <v>#REF!</v>
      </c>
      <c r="AJ10" s="193">
        <f>'гориво_бр. деца'!AK10</f>
        <v>359</v>
      </c>
      <c r="AK10" s="174">
        <f>'гориво_бр. деца'!AL10</f>
        <v>0</v>
      </c>
      <c r="AL10" s="174">
        <f>'гориво_бр. деца'!AM10</f>
        <v>0</v>
      </c>
      <c r="AM10" s="174">
        <f>'гориво_бр. деца'!AN10</f>
        <v>0</v>
      </c>
      <c r="AN10" s="174">
        <f>'гориво_бр. деца'!AO10</f>
        <v>0</v>
      </c>
      <c r="AO10" s="174">
        <f>'гориво_бр. деца'!AP10</f>
        <v>0</v>
      </c>
      <c r="AP10" s="174">
        <f>'гориво_бр. деца'!AQ10</f>
        <v>0</v>
      </c>
      <c r="AQ10" s="174">
        <f>'гориво_бр. деца'!AR10</f>
        <v>0</v>
      </c>
      <c r="AR10" s="174">
        <f>'гориво_бр. деца'!AS10</f>
        <v>584275.64627659577</v>
      </c>
      <c r="AS10" s="27">
        <f t="shared" ref="AS10:AS19" si="9">O10-J10</f>
        <v>1620.9230379943265</v>
      </c>
      <c r="AT10" s="28"/>
      <c r="AV10" s="9"/>
      <c r="AW10" s="29"/>
      <c r="AX10" s="30"/>
      <c r="AY10" s="16"/>
      <c r="AZ10" s="9"/>
      <c r="BA10" s="16"/>
    </row>
    <row r="11" spans="1:53" ht="18.75" customHeight="1" x14ac:dyDescent="0.2">
      <c r="A11" s="31">
        <v>2</v>
      </c>
      <c r="B11" s="131" t="s">
        <v>16</v>
      </c>
      <c r="C11" s="19">
        <v>416</v>
      </c>
      <c r="D11" s="20">
        <f t="shared" ref="D11:D20" si="10">$D$9*C11</f>
        <v>670176</v>
      </c>
      <c r="E11" s="20">
        <v>29000</v>
      </c>
      <c r="F11" s="21">
        <f t="shared" si="0"/>
        <v>634981.18638573738</v>
      </c>
      <c r="G11" s="22">
        <f t="shared" ref="G11:G18" si="11">F11+E11</f>
        <v>663981.18638573738</v>
      </c>
      <c r="H11" s="20">
        <f t="shared" ref="H11:H18" si="12">G11</f>
        <v>663981.18638573738</v>
      </c>
      <c r="I11" s="116">
        <f t="shared" ref="I11:I18" si="13">F11-F11*1%</f>
        <v>628631.37452188006</v>
      </c>
      <c r="J11" s="129">
        <f t="shared" ref="J11:J18" si="14">F11*1%</f>
        <v>6349.8118638573742</v>
      </c>
      <c r="K11" s="129"/>
      <c r="L11" s="129"/>
      <c r="M11" s="129">
        <f>C11*M8/1288</f>
        <v>5078.279293043478</v>
      </c>
      <c r="N11" s="129"/>
      <c r="O11" s="129">
        <f t="shared" ref="O11:O18" si="15">SUM(K11:N11)</f>
        <v>5078.279293043478</v>
      </c>
      <c r="P11" s="129">
        <f t="shared" si="1"/>
        <v>633709.65381492348</v>
      </c>
      <c r="Q11" s="19">
        <v>3</v>
      </c>
      <c r="R11" s="20">
        <f t="shared" si="2"/>
        <v>1119</v>
      </c>
      <c r="S11" s="23"/>
      <c r="T11" s="20">
        <f t="shared" si="3"/>
        <v>0</v>
      </c>
      <c r="U11" s="19">
        <f t="shared" si="4"/>
        <v>416</v>
      </c>
      <c r="V11" s="20">
        <f t="shared" si="5"/>
        <v>10400</v>
      </c>
      <c r="W11" s="20"/>
      <c r="X11" s="20">
        <f t="shared" si="6"/>
        <v>0</v>
      </c>
      <c r="Y11" s="24">
        <v>213</v>
      </c>
      <c r="Z11" s="24">
        <f t="shared" si="7"/>
        <v>18531</v>
      </c>
      <c r="AA11" s="25"/>
      <c r="AB11" s="26"/>
      <c r="AC11" s="20"/>
      <c r="AD11" s="78">
        <f t="shared" si="8"/>
        <v>0</v>
      </c>
      <c r="AE11" s="196">
        <f t="shared" ref="AE11:AE20" si="16">P11+E11+R11+T11+V11+Z11+AB11+AD11+X11</f>
        <v>692759.65381492348</v>
      </c>
      <c r="AF11" s="170">
        <f>'гориво_бр. деца'!AG11</f>
        <v>0</v>
      </c>
      <c r="AG11" s="170">
        <f>'гориво_бр. деца'!AH11</f>
        <v>0</v>
      </c>
      <c r="AH11" s="170" t="e">
        <f>'гориво_бр. деца'!AI11</f>
        <v>#REF!</v>
      </c>
      <c r="AI11" s="170" t="e">
        <f>'гориво_бр. деца'!AJ11</f>
        <v>#REF!</v>
      </c>
      <c r="AJ11" s="193">
        <f>'гориво_бр. деца'!AK11</f>
        <v>0</v>
      </c>
      <c r="AK11" s="170">
        <f>'гориво_бр. деца'!AL11</f>
        <v>0</v>
      </c>
      <c r="AL11" s="170">
        <f>'гориво_бр. деца'!AM11</f>
        <v>0</v>
      </c>
      <c r="AM11" s="170">
        <f>'гориво_бр. деца'!AN11</f>
        <v>0</v>
      </c>
      <c r="AN11" s="170">
        <f>'гориво_бр. деца'!AO11</f>
        <v>0</v>
      </c>
      <c r="AO11" s="170">
        <f>'гориво_бр. деца'!AP11</f>
        <v>0</v>
      </c>
      <c r="AP11" s="170">
        <f>'гориво_бр. деца'!AQ11</f>
        <v>0</v>
      </c>
      <c r="AQ11" s="170">
        <f>'гориво_бр. деца'!AR11</f>
        <v>0</v>
      </c>
      <c r="AR11" s="170">
        <f>'гориво_бр. деца'!AS11</f>
        <v>780850.32978723408</v>
      </c>
      <c r="AS11" s="27">
        <f t="shared" si="9"/>
        <v>-1271.5325708138962</v>
      </c>
      <c r="AT11" s="28"/>
      <c r="AV11" s="9"/>
      <c r="AW11" s="29"/>
      <c r="AX11" s="30"/>
      <c r="AY11" s="16"/>
      <c r="AZ11" s="9"/>
      <c r="BA11" s="16"/>
    </row>
    <row r="12" spans="1:53" ht="22.5" customHeight="1" x14ac:dyDescent="0.2">
      <c r="A12" s="92">
        <v>3</v>
      </c>
      <c r="B12" s="130" t="s">
        <v>17</v>
      </c>
      <c r="C12" s="82">
        <v>559</v>
      </c>
      <c r="D12" s="83">
        <f t="shared" si="10"/>
        <v>900549</v>
      </c>
      <c r="E12" s="83">
        <v>29000</v>
      </c>
      <c r="F12" s="84">
        <f t="shared" si="0"/>
        <v>853255.96920583467</v>
      </c>
      <c r="G12" s="85">
        <f t="shared" si="11"/>
        <v>882255.96920583467</v>
      </c>
      <c r="H12" s="83">
        <f t="shared" si="12"/>
        <v>882255.96920583467</v>
      </c>
      <c r="I12" s="116">
        <f t="shared" si="13"/>
        <v>844723.40951377631</v>
      </c>
      <c r="J12" s="129">
        <f t="shared" si="14"/>
        <v>8532.5596920583466</v>
      </c>
      <c r="K12" s="129"/>
      <c r="L12" s="129"/>
      <c r="M12" s="129"/>
      <c r="N12" s="129">
        <f>C12*N8/1190</f>
        <v>5970.8848649029405</v>
      </c>
      <c r="O12" s="129">
        <f t="shared" si="15"/>
        <v>5970.8848649029405</v>
      </c>
      <c r="P12" s="129">
        <f t="shared" si="1"/>
        <v>850694.29437867925</v>
      </c>
      <c r="Q12" s="82">
        <v>15</v>
      </c>
      <c r="R12" s="83">
        <f t="shared" si="2"/>
        <v>5595</v>
      </c>
      <c r="S12" s="83"/>
      <c r="T12" s="83">
        <f t="shared" si="3"/>
        <v>0</v>
      </c>
      <c r="U12" s="82">
        <f t="shared" si="4"/>
        <v>559</v>
      </c>
      <c r="V12" s="83">
        <f t="shared" si="5"/>
        <v>13975</v>
      </c>
      <c r="W12" s="83">
        <v>1</v>
      </c>
      <c r="X12" s="83">
        <f t="shared" si="6"/>
        <v>862</v>
      </c>
      <c r="Y12" s="87">
        <v>97</v>
      </c>
      <c r="Z12" s="87">
        <f t="shared" si="7"/>
        <v>8439</v>
      </c>
      <c r="AA12" s="93">
        <v>283</v>
      </c>
      <c r="AB12" s="83">
        <f t="shared" ref="AB12:AB18" si="17">AA12*$AB$9</f>
        <v>20376</v>
      </c>
      <c r="AC12" s="83">
        <v>348</v>
      </c>
      <c r="AD12" s="90">
        <f t="shared" si="8"/>
        <v>201840</v>
      </c>
      <c r="AE12" s="196">
        <f t="shared" si="16"/>
        <v>1130781.2943786792</v>
      </c>
      <c r="AF12" s="174">
        <f>'гориво_бр. деца'!AG12</f>
        <v>36</v>
      </c>
      <c r="AG12" s="174">
        <f>'гориво_бр. деца'!AH12</f>
        <v>11736</v>
      </c>
      <c r="AH12" s="174" t="e">
        <f>'гориво_бр. деца'!AI12</f>
        <v>#REF!</v>
      </c>
      <c r="AI12" s="174" t="e">
        <f>'гориво_бр. деца'!AJ12</f>
        <v>#REF!</v>
      </c>
      <c r="AJ12" s="193">
        <f>'гориво_бр. деца'!AK12</f>
        <v>93555</v>
      </c>
      <c r="AK12" s="174">
        <f>'гориво_бр. деца'!AL12</f>
        <v>0</v>
      </c>
      <c r="AL12" s="174">
        <f>'гориво_бр. деца'!AM12</f>
        <v>0</v>
      </c>
      <c r="AM12" s="174">
        <f>'гориво_бр. деца'!AN12</f>
        <v>1</v>
      </c>
      <c r="AN12" s="174">
        <f>'гориво_бр. деца'!AO12</f>
        <v>5000</v>
      </c>
      <c r="AO12" s="174">
        <f>'гориво_бр. деца'!AP12</f>
        <v>0</v>
      </c>
      <c r="AP12" s="174">
        <f>'гориво_бр. деца'!AQ12</f>
        <v>0</v>
      </c>
      <c r="AQ12" s="174">
        <f>'гориво_бр. деца'!AR12</f>
        <v>5000</v>
      </c>
      <c r="AR12" s="174">
        <f>'гориво_бр. деца'!AS12</f>
        <v>1333227.0531914893</v>
      </c>
      <c r="AS12" s="27">
        <f t="shared" si="9"/>
        <v>-2561.6748271554061</v>
      </c>
      <c r="AT12" s="28"/>
      <c r="AV12" s="9"/>
      <c r="AW12" s="29"/>
      <c r="AX12" s="30"/>
      <c r="AY12" s="16"/>
      <c r="AZ12" s="9"/>
      <c r="BA12" s="16"/>
    </row>
    <row r="13" spans="1:53" ht="22.5" customHeight="1" x14ac:dyDescent="0.2">
      <c r="A13" s="17">
        <v>4</v>
      </c>
      <c r="B13" s="131" t="s">
        <v>18</v>
      </c>
      <c r="C13" s="19">
        <v>428</v>
      </c>
      <c r="D13" s="20">
        <f t="shared" si="10"/>
        <v>689508</v>
      </c>
      <c r="E13" s="20">
        <v>29000</v>
      </c>
      <c r="F13" s="21">
        <f t="shared" si="0"/>
        <v>653297.95137763373</v>
      </c>
      <c r="G13" s="22">
        <f t="shared" si="11"/>
        <v>682297.95137763373</v>
      </c>
      <c r="H13" s="20">
        <f t="shared" si="12"/>
        <v>682297.95137763373</v>
      </c>
      <c r="I13" s="116">
        <f t="shared" si="13"/>
        <v>646764.97186385735</v>
      </c>
      <c r="J13" s="129">
        <f t="shared" si="14"/>
        <v>6532.9795137763376</v>
      </c>
      <c r="K13" s="129"/>
      <c r="L13" s="129"/>
      <c r="M13" s="129">
        <f>C13*M8/1288</f>
        <v>5224.7681188043471</v>
      </c>
      <c r="N13" s="129"/>
      <c r="O13" s="129">
        <f t="shared" si="15"/>
        <v>5224.7681188043471</v>
      </c>
      <c r="P13" s="129">
        <f t="shared" si="1"/>
        <v>651989.73998266167</v>
      </c>
      <c r="Q13" s="19"/>
      <c r="R13" s="20">
        <f t="shared" si="2"/>
        <v>0</v>
      </c>
      <c r="S13" s="20">
        <v>1</v>
      </c>
      <c r="T13" s="20">
        <f t="shared" si="3"/>
        <v>3070</v>
      </c>
      <c r="U13" s="19">
        <f t="shared" si="4"/>
        <v>428</v>
      </c>
      <c r="V13" s="20">
        <f t="shared" si="5"/>
        <v>10700</v>
      </c>
      <c r="W13" s="20"/>
      <c r="X13" s="20">
        <f t="shared" si="6"/>
        <v>0</v>
      </c>
      <c r="Y13" s="24"/>
      <c r="Z13" s="24">
        <f t="shared" si="7"/>
        <v>0</v>
      </c>
      <c r="AA13" s="32">
        <v>229</v>
      </c>
      <c r="AB13" s="20">
        <f t="shared" si="17"/>
        <v>16488</v>
      </c>
      <c r="AC13" s="20">
        <v>246</v>
      </c>
      <c r="AD13" s="78">
        <f t="shared" si="8"/>
        <v>142680</v>
      </c>
      <c r="AE13" s="196">
        <f t="shared" si="16"/>
        <v>853927.73998266167</v>
      </c>
      <c r="AF13" s="170">
        <f>'гориво_бр. деца'!AG13</f>
        <v>15</v>
      </c>
      <c r="AG13" s="170">
        <f>'гориво_бр. деца'!AH13</f>
        <v>4890</v>
      </c>
      <c r="AH13" s="170" t="e">
        <f>'гориво_бр. деца'!AI13</f>
        <v>#REF!</v>
      </c>
      <c r="AI13" s="170" t="e">
        <f>'гориво_бр. деца'!AJ13</f>
        <v>#REF!</v>
      </c>
      <c r="AJ13" s="193">
        <f>'гориво_бр. деца'!AK13</f>
        <v>42525</v>
      </c>
      <c r="AK13" s="170">
        <f>'гориво_бр. деца'!AL13</f>
        <v>1</v>
      </c>
      <c r="AL13" s="170">
        <f>'гориво_бр. деца'!AM13</f>
        <v>3000</v>
      </c>
      <c r="AM13" s="170">
        <f>'гориво_бр. деца'!AN13</f>
        <v>0</v>
      </c>
      <c r="AN13" s="170">
        <f>'гориво_бр. деца'!AO13</f>
        <v>0</v>
      </c>
      <c r="AO13" s="170">
        <f>'гориво_бр. деца'!AP13</f>
        <v>0</v>
      </c>
      <c r="AP13" s="170">
        <f>'гориво_бр. деца'!AQ13</f>
        <v>0</v>
      </c>
      <c r="AQ13" s="170">
        <f>'гориво_бр. деца'!AR13</f>
        <v>3000</v>
      </c>
      <c r="AR13" s="170">
        <f>'гориво_бр. деца'!AS13</f>
        <v>936926.02393617027</v>
      </c>
      <c r="AS13" s="27">
        <f t="shared" si="9"/>
        <v>-1308.2113949719906</v>
      </c>
      <c r="AT13" s="28"/>
      <c r="AV13" s="16"/>
      <c r="AW13" s="16"/>
      <c r="AX13" s="30"/>
      <c r="AY13" s="16"/>
      <c r="AZ13" s="16"/>
      <c r="BA13" s="16"/>
    </row>
    <row r="14" spans="1:53" ht="24" customHeight="1" x14ac:dyDescent="0.2">
      <c r="A14" s="80">
        <v>5</v>
      </c>
      <c r="B14" s="132" t="s">
        <v>19</v>
      </c>
      <c r="C14" s="87">
        <v>444</v>
      </c>
      <c r="D14" s="83">
        <f t="shared" si="10"/>
        <v>715284</v>
      </c>
      <c r="E14" s="83">
        <v>29000</v>
      </c>
      <c r="F14" s="84">
        <f t="shared" si="0"/>
        <v>677720.30470016203</v>
      </c>
      <c r="G14" s="84">
        <f t="shared" si="11"/>
        <v>706720.30470016203</v>
      </c>
      <c r="H14" s="83">
        <f t="shared" si="12"/>
        <v>706720.30470016203</v>
      </c>
      <c r="I14" s="116">
        <f t="shared" si="13"/>
        <v>670943.10165316041</v>
      </c>
      <c r="J14" s="129">
        <f t="shared" si="14"/>
        <v>6777.2030470016207</v>
      </c>
      <c r="K14" s="129"/>
      <c r="L14" s="129"/>
      <c r="M14" s="129">
        <f>C14*M8/1288</f>
        <v>5420.0865531521731</v>
      </c>
      <c r="N14" s="129"/>
      <c r="O14" s="129">
        <f t="shared" si="15"/>
        <v>5420.0865531521731</v>
      </c>
      <c r="P14" s="129">
        <f t="shared" si="1"/>
        <v>676363.1882063126</v>
      </c>
      <c r="Q14" s="87"/>
      <c r="R14" s="88">
        <f t="shared" si="2"/>
        <v>0</v>
      </c>
      <c r="S14" s="88"/>
      <c r="T14" s="83">
        <f t="shared" si="3"/>
        <v>0</v>
      </c>
      <c r="U14" s="87">
        <f t="shared" si="4"/>
        <v>444</v>
      </c>
      <c r="V14" s="88">
        <f t="shared" si="5"/>
        <v>11100</v>
      </c>
      <c r="W14" s="88">
        <v>3</v>
      </c>
      <c r="X14" s="83">
        <f t="shared" si="6"/>
        <v>2586</v>
      </c>
      <c r="Y14" s="95"/>
      <c r="Z14" s="87">
        <f t="shared" si="7"/>
        <v>0</v>
      </c>
      <c r="AA14" s="93">
        <v>258</v>
      </c>
      <c r="AB14" s="88">
        <f t="shared" si="17"/>
        <v>18576</v>
      </c>
      <c r="AC14" s="88">
        <v>335</v>
      </c>
      <c r="AD14" s="90">
        <f t="shared" si="8"/>
        <v>194300</v>
      </c>
      <c r="AE14" s="196">
        <f t="shared" si="16"/>
        <v>931925.1882063126</v>
      </c>
      <c r="AF14" s="174">
        <f>'гориво_бр. деца'!AG14</f>
        <v>28</v>
      </c>
      <c r="AG14" s="174">
        <f>'гориво_бр. деца'!AH14</f>
        <v>9128</v>
      </c>
      <c r="AH14" s="174" t="e">
        <f>'гориво_бр. деца'!AI14</f>
        <v>#REF!</v>
      </c>
      <c r="AI14" s="174" t="e">
        <f>'гориво_бр. деца'!AJ14</f>
        <v>#REF!</v>
      </c>
      <c r="AJ14" s="193">
        <f>'гориво_бр. деца'!AK14</f>
        <v>70875</v>
      </c>
      <c r="AK14" s="174">
        <f>'гориво_бр. деца'!AL14</f>
        <v>0</v>
      </c>
      <c r="AL14" s="174">
        <f>'гориво_бр. деца'!AM14</f>
        <v>0</v>
      </c>
      <c r="AM14" s="174">
        <f>'гориво_бр. деца'!AN14</f>
        <v>0</v>
      </c>
      <c r="AN14" s="174">
        <f>'гориво_бр. деца'!AO14</f>
        <v>0</v>
      </c>
      <c r="AO14" s="174">
        <f>'гориво_бр. деца'!AP14</f>
        <v>1</v>
      </c>
      <c r="AP14" s="174">
        <f>'гориво_бр. деца'!AQ14</f>
        <v>6000</v>
      </c>
      <c r="AQ14" s="174">
        <f>'гориво_бр. деца'!AR14</f>
        <v>6000</v>
      </c>
      <c r="AR14" s="174">
        <f>'гориво_бр. деца'!AS14</f>
        <v>1010821.710106383</v>
      </c>
      <c r="AS14" s="27">
        <f t="shared" si="9"/>
        <v>-1357.1164938494476</v>
      </c>
      <c r="AT14" s="28"/>
      <c r="AV14" s="9"/>
      <c r="AW14" s="9"/>
      <c r="AX14" s="9"/>
      <c r="AY14" s="16"/>
      <c r="AZ14" s="9"/>
      <c r="BA14" s="9"/>
    </row>
    <row r="15" spans="1:53" ht="25.5" customHeight="1" x14ac:dyDescent="0.2">
      <c r="A15" s="31">
        <v>6</v>
      </c>
      <c r="B15" s="131" t="s">
        <v>20</v>
      </c>
      <c r="C15" s="19">
        <v>631</v>
      </c>
      <c r="D15" s="20">
        <f t="shared" si="10"/>
        <v>1016541</v>
      </c>
      <c r="E15" s="20">
        <v>29000</v>
      </c>
      <c r="F15" s="21">
        <f t="shared" si="0"/>
        <v>963156.55915721226</v>
      </c>
      <c r="G15" s="22">
        <f t="shared" si="11"/>
        <v>992156.55915721226</v>
      </c>
      <c r="H15" s="20">
        <f t="shared" si="12"/>
        <v>992156.55915721226</v>
      </c>
      <c r="I15" s="116">
        <f t="shared" si="13"/>
        <v>953524.99356564018</v>
      </c>
      <c r="J15" s="129">
        <f t="shared" si="14"/>
        <v>9631.5655915721236</v>
      </c>
      <c r="K15" s="129"/>
      <c r="L15" s="129"/>
      <c r="M15" s="129"/>
      <c r="N15" s="129">
        <f>C15*N8/1190</f>
        <v>6739.9433805970584</v>
      </c>
      <c r="O15" s="129">
        <f t="shared" si="15"/>
        <v>6739.9433805970584</v>
      </c>
      <c r="P15" s="129">
        <f t="shared" si="1"/>
        <v>960264.93694623723</v>
      </c>
      <c r="Q15" s="19"/>
      <c r="R15" s="20">
        <f t="shared" si="2"/>
        <v>0</v>
      </c>
      <c r="S15" s="20"/>
      <c r="T15" s="20">
        <f t="shared" si="3"/>
        <v>0</v>
      </c>
      <c r="U15" s="19">
        <f t="shared" si="4"/>
        <v>631</v>
      </c>
      <c r="V15" s="20">
        <f t="shared" si="5"/>
        <v>15775</v>
      </c>
      <c r="W15" s="20"/>
      <c r="X15" s="20">
        <f t="shared" si="6"/>
        <v>0</v>
      </c>
      <c r="Y15" s="33"/>
      <c r="Z15" s="24">
        <f t="shared" si="7"/>
        <v>0</v>
      </c>
      <c r="AA15" s="32">
        <v>414</v>
      </c>
      <c r="AB15" s="20">
        <f t="shared" si="17"/>
        <v>29808</v>
      </c>
      <c r="AC15" s="20">
        <v>505</v>
      </c>
      <c r="AD15" s="78">
        <f t="shared" si="8"/>
        <v>292900</v>
      </c>
      <c r="AE15" s="196">
        <f t="shared" si="16"/>
        <v>1327747.9369462372</v>
      </c>
      <c r="AF15" s="170">
        <f>'гориво_бр. деца'!AG15</f>
        <v>25</v>
      </c>
      <c r="AG15" s="170">
        <f>'гориво_бр. деца'!AH15</f>
        <v>8150</v>
      </c>
      <c r="AH15" s="170" t="e">
        <f>'гориво_бр. деца'!AI15</f>
        <v>#REF!</v>
      </c>
      <c r="AI15" s="170" t="e">
        <f>'гориво_бр. деца'!AJ15</f>
        <v>#REF!</v>
      </c>
      <c r="AJ15" s="193">
        <f>'гориво_бр. деца'!AK15</f>
        <v>42525</v>
      </c>
      <c r="AK15" s="170">
        <f>'гориво_бр. деца'!AL15</f>
        <v>0</v>
      </c>
      <c r="AL15" s="170">
        <f>'гориво_бр. деца'!AM15</f>
        <v>0</v>
      </c>
      <c r="AM15" s="170">
        <f>'гориво_бр. деца'!AN15</f>
        <v>0</v>
      </c>
      <c r="AN15" s="170">
        <f>'гориво_бр. деца'!AO15</f>
        <v>0</v>
      </c>
      <c r="AO15" s="170">
        <f>'гориво_бр. деца'!AP15</f>
        <v>1</v>
      </c>
      <c r="AP15" s="170">
        <f>'гориво_бр. деца'!AQ15</f>
        <v>6000</v>
      </c>
      <c r="AQ15" s="170">
        <f>'гориво_бр. деца'!AR15</f>
        <v>6000</v>
      </c>
      <c r="AR15" s="170">
        <f>'гориво_бр. деца'!AS15</f>
        <v>1541230.9361702127</v>
      </c>
      <c r="AS15" s="27">
        <f t="shared" si="9"/>
        <v>-2891.6222109750652</v>
      </c>
      <c r="AT15" s="28"/>
      <c r="AV15" s="9"/>
      <c r="AW15" s="9"/>
      <c r="AX15" s="9"/>
      <c r="AY15" s="16"/>
      <c r="AZ15" s="9"/>
      <c r="BA15" s="9"/>
    </row>
    <row r="16" spans="1:53" ht="34.5" customHeight="1" x14ac:dyDescent="0.2">
      <c r="A16" s="80">
        <v>7</v>
      </c>
      <c r="B16" s="130" t="s">
        <v>21</v>
      </c>
      <c r="C16" s="82">
        <v>92</v>
      </c>
      <c r="D16" s="83">
        <f t="shared" si="10"/>
        <v>148212</v>
      </c>
      <c r="E16" s="83">
        <v>29000</v>
      </c>
      <c r="F16" s="84">
        <f t="shared" si="0"/>
        <v>140428.53160453809</v>
      </c>
      <c r="G16" s="85">
        <f t="shared" si="11"/>
        <v>169428.53160453809</v>
      </c>
      <c r="H16" s="83">
        <f t="shared" si="12"/>
        <v>169428.53160453809</v>
      </c>
      <c r="I16" s="116">
        <f t="shared" si="13"/>
        <v>139024.24628849272</v>
      </c>
      <c r="J16" s="129">
        <f t="shared" si="14"/>
        <v>1404.285316045381</v>
      </c>
      <c r="K16" s="129">
        <f>C16*K8/287</f>
        <v>3893.7149846341463</v>
      </c>
      <c r="L16" s="129"/>
      <c r="M16" s="129"/>
      <c r="N16" s="129"/>
      <c r="O16" s="129">
        <f t="shared" si="15"/>
        <v>3893.7149846341463</v>
      </c>
      <c r="P16" s="129">
        <f t="shared" si="1"/>
        <v>142917.96127312686</v>
      </c>
      <c r="Q16" s="82">
        <v>26</v>
      </c>
      <c r="R16" s="83">
        <f t="shared" si="2"/>
        <v>9698</v>
      </c>
      <c r="S16" s="86"/>
      <c r="T16" s="83">
        <f t="shared" si="3"/>
        <v>0</v>
      </c>
      <c r="U16" s="82">
        <f t="shared" si="4"/>
        <v>92</v>
      </c>
      <c r="V16" s="83">
        <f t="shared" si="5"/>
        <v>2300</v>
      </c>
      <c r="W16" s="83"/>
      <c r="X16" s="83">
        <f t="shared" si="6"/>
        <v>0</v>
      </c>
      <c r="Y16" s="95"/>
      <c r="Z16" s="87">
        <f t="shared" si="7"/>
        <v>0</v>
      </c>
      <c r="AA16" s="96">
        <v>48</v>
      </c>
      <c r="AB16" s="83">
        <f t="shared" si="17"/>
        <v>3456</v>
      </c>
      <c r="AC16" s="83">
        <v>52</v>
      </c>
      <c r="AD16" s="90">
        <f t="shared" si="8"/>
        <v>30160</v>
      </c>
      <c r="AE16" s="196">
        <f t="shared" si="16"/>
        <v>217531.96127312686</v>
      </c>
      <c r="AF16" s="174">
        <f>'гориво_бр. деца'!AG16</f>
        <v>10</v>
      </c>
      <c r="AG16" s="174">
        <f>'гориво_бр. деца'!AH16</f>
        <v>3260</v>
      </c>
      <c r="AH16" s="174" t="e">
        <f>'гориво_бр. деца'!AI16</f>
        <v>#REF!</v>
      </c>
      <c r="AI16" s="174" t="e">
        <f>'гориво_бр. деца'!AJ16</f>
        <v>#REF!</v>
      </c>
      <c r="AJ16" s="193">
        <f>'гориво_бр. деца'!AK16</f>
        <v>14175</v>
      </c>
      <c r="AK16" s="174">
        <f>'гориво_бр. деца'!AL16</f>
        <v>0</v>
      </c>
      <c r="AL16" s="174">
        <f>'гориво_бр. деца'!AM16</f>
        <v>0</v>
      </c>
      <c r="AM16" s="174">
        <f>'гориво_бр. деца'!AN16</f>
        <v>1</v>
      </c>
      <c r="AN16" s="174">
        <f>'гориво_бр. деца'!AO16</f>
        <v>5000</v>
      </c>
      <c r="AO16" s="174">
        <f>'гориво_бр. деца'!AP16</f>
        <v>0</v>
      </c>
      <c r="AP16" s="174">
        <f>'гориво_бр. деца'!AQ16</f>
        <v>0</v>
      </c>
      <c r="AQ16" s="174">
        <f>'гориво_бр. деца'!AR16</f>
        <v>5000</v>
      </c>
      <c r="AR16" s="174">
        <f>'гориво_бр. деца'!AS16</f>
        <v>196296.27127659574</v>
      </c>
      <c r="AS16" s="27">
        <f t="shared" si="9"/>
        <v>2489.4296685887653</v>
      </c>
      <c r="AT16" s="28"/>
    </row>
    <row r="17" spans="1:47" ht="27" customHeight="1" x14ac:dyDescent="0.2">
      <c r="A17" s="17">
        <v>8</v>
      </c>
      <c r="B17" s="131" t="s">
        <v>22</v>
      </c>
      <c r="C17" s="19">
        <v>146</v>
      </c>
      <c r="D17" s="20">
        <f t="shared" si="10"/>
        <v>235206</v>
      </c>
      <c r="E17" s="20">
        <v>29000</v>
      </c>
      <c r="F17" s="21">
        <f t="shared" si="0"/>
        <v>222853.97406807131</v>
      </c>
      <c r="G17" s="22">
        <f t="shared" si="11"/>
        <v>251853.97406807131</v>
      </c>
      <c r="H17" s="20">
        <f t="shared" si="12"/>
        <v>251853.97406807131</v>
      </c>
      <c r="I17" s="116">
        <f t="shared" si="13"/>
        <v>220625.4343273906</v>
      </c>
      <c r="J17" s="129">
        <f t="shared" si="14"/>
        <v>2228.5397406807133</v>
      </c>
      <c r="K17" s="129">
        <f>C17*K8/287</f>
        <v>6179.1563886585373</v>
      </c>
      <c r="L17" s="129"/>
      <c r="M17" s="129"/>
      <c r="N17" s="129"/>
      <c r="O17" s="129">
        <f t="shared" si="15"/>
        <v>6179.1563886585373</v>
      </c>
      <c r="P17" s="129">
        <f t="shared" si="1"/>
        <v>226804.59071604913</v>
      </c>
      <c r="Q17" s="19">
        <v>15</v>
      </c>
      <c r="R17" s="20">
        <f t="shared" si="2"/>
        <v>5595</v>
      </c>
      <c r="S17" s="23"/>
      <c r="T17" s="20">
        <f t="shared" si="3"/>
        <v>0</v>
      </c>
      <c r="U17" s="19">
        <f t="shared" si="4"/>
        <v>146</v>
      </c>
      <c r="V17" s="20">
        <f t="shared" si="5"/>
        <v>3650</v>
      </c>
      <c r="W17" s="20"/>
      <c r="X17" s="20">
        <f t="shared" si="6"/>
        <v>0</v>
      </c>
      <c r="Y17" s="24"/>
      <c r="Z17" s="24">
        <f t="shared" si="7"/>
        <v>0</v>
      </c>
      <c r="AA17" s="32">
        <v>66</v>
      </c>
      <c r="AB17" s="20">
        <f t="shared" si="17"/>
        <v>4752</v>
      </c>
      <c r="AC17" s="20">
        <v>146</v>
      </c>
      <c r="AD17" s="78">
        <f t="shared" si="8"/>
        <v>84680</v>
      </c>
      <c r="AE17" s="196">
        <f t="shared" si="16"/>
        <v>354481.59071604913</v>
      </c>
      <c r="AF17" s="170">
        <f>'гориво_бр. деца'!AG17</f>
        <v>0</v>
      </c>
      <c r="AG17" s="170">
        <f>'гориво_бр. деца'!AH17</f>
        <v>0</v>
      </c>
      <c r="AH17" s="170" t="e">
        <f>'гориво_бр. деца'!AI17</f>
        <v>#REF!</v>
      </c>
      <c r="AI17" s="170" t="e">
        <f>'гориво_бр. деца'!AJ17</f>
        <v>#REF!</v>
      </c>
      <c r="AJ17" s="193">
        <f>'гориво_бр. деца'!AK17</f>
        <v>359</v>
      </c>
      <c r="AK17" s="170">
        <f>'гориво_бр. деца'!AL17</f>
        <v>0</v>
      </c>
      <c r="AL17" s="170">
        <f>'гориво_бр. деца'!AM17</f>
        <v>0</v>
      </c>
      <c r="AM17" s="170">
        <f>'гориво_бр. деца'!AN17</f>
        <v>1</v>
      </c>
      <c r="AN17" s="170">
        <f>'гориво_бр. деца'!AO17</f>
        <v>5000</v>
      </c>
      <c r="AO17" s="170">
        <f>'гориво_бр. деца'!AP17</f>
        <v>2</v>
      </c>
      <c r="AP17" s="170">
        <f>'гориво_бр. деца'!AQ17</f>
        <v>12000</v>
      </c>
      <c r="AQ17" s="170">
        <f>'гориво_бр. деца'!AR17</f>
        <v>17000</v>
      </c>
      <c r="AR17" s="170">
        <f>'гориво_бр. деца'!AS17</f>
        <v>378630.77393617021</v>
      </c>
      <c r="AS17" s="27">
        <f t="shared" si="9"/>
        <v>3950.616647977824</v>
      </c>
      <c r="AT17" s="28"/>
    </row>
    <row r="18" spans="1:47" ht="25.5" customHeight="1" x14ac:dyDescent="0.2">
      <c r="A18" s="92">
        <v>9</v>
      </c>
      <c r="B18" s="130" t="s">
        <v>23</v>
      </c>
      <c r="C18" s="82">
        <v>49</v>
      </c>
      <c r="D18" s="83">
        <f t="shared" si="10"/>
        <v>78939</v>
      </c>
      <c r="E18" s="83">
        <v>29000</v>
      </c>
      <c r="F18" s="84">
        <f t="shared" si="0"/>
        <v>74793.457050243116</v>
      </c>
      <c r="G18" s="85">
        <f t="shared" si="11"/>
        <v>103793.45705024312</v>
      </c>
      <c r="H18" s="83">
        <f t="shared" si="12"/>
        <v>103793.45705024312</v>
      </c>
      <c r="I18" s="116">
        <f t="shared" si="13"/>
        <v>74045.522479740685</v>
      </c>
      <c r="J18" s="129">
        <f t="shared" si="14"/>
        <v>747.93457050243114</v>
      </c>
      <c r="K18" s="129">
        <f>C18*K8/287</f>
        <v>2073.8264592073169</v>
      </c>
      <c r="L18" s="129"/>
      <c r="M18" s="129"/>
      <c r="N18" s="129"/>
      <c r="O18" s="129">
        <f t="shared" si="15"/>
        <v>2073.8264592073169</v>
      </c>
      <c r="P18" s="129">
        <f t="shared" si="1"/>
        <v>76119.348938947995</v>
      </c>
      <c r="Q18" s="82">
        <v>11</v>
      </c>
      <c r="R18" s="83">
        <f t="shared" si="2"/>
        <v>4103</v>
      </c>
      <c r="S18" s="86"/>
      <c r="T18" s="83">
        <f t="shared" si="3"/>
        <v>0</v>
      </c>
      <c r="U18" s="82">
        <f t="shared" si="4"/>
        <v>49</v>
      </c>
      <c r="V18" s="83">
        <f t="shared" si="5"/>
        <v>1225</v>
      </c>
      <c r="W18" s="83"/>
      <c r="X18" s="83">
        <f t="shared" si="6"/>
        <v>0</v>
      </c>
      <c r="Y18" s="87"/>
      <c r="Z18" s="87">
        <f t="shared" si="7"/>
        <v>0</v>
      </c>
      <c r="AA18" s="93">
        <v>25</v>
      </c>
      <c r="AB18" s="83">
        <f t="shared" si="17"/>
        <v>1800</v>
      </c>
      <c r="AC18" s="83">
        <v>43</v>
      </c>
      <c r="AD18" s="90">
        <f t="shared" si="8"/>
        <v>24940</v>
      </c>
      <c r="AE18" s="196">
        <f t="shared" si="16"/>
        <v>137187.34893894801</v>
      </c>
      <c r="AF18" s="174">
        <f>'гориво_бр. деца'!AG18</f>
        <v>9</v>
      </c>
      <c r="AG18" s="174">
        <f>'гориво_бр. деца'!AH18</f>
        <v>2934</v>
      </c>
      <c r="AH18" s="174" t="e">
        <f>'гориво_бр. деца'!AI18</f>
        <v>#REF!</v>
      </c>
      <c r="AI18" s="174" t="e">
        <f>'гориво_бр. деца'!AJ18</f>
        <v>#REF!</v>
      </c>
      <c r="AJ18" s="193">
        <f>'гориво_бр. деца'!AK18</f>
        <v>3231</v>
      </c>
      <c r="AK18" s="174">
        <f>'гориво_бр. деца'!AL18</f>
        <v>0</v>
      </c>
      <c r="AL18" s="174">
        <f>'гориво_бр. деца'!AM18</f>
        <v>0</v>
      </c>
      <c r="AM18" s="174">
        <f>'гориво_бр. деца'!AN18</f>
        <v>0</v>
      </c>
      <c r="AN18" s="174">
        <f>'гориво_бр. деца'!AO18</f>
        <v>0</v>
      </c>
      <c r="AO18" s="174">
        <f>'гориво_бр. деца'!AP18</f>
        <v>0</v>
      </c>
      <c r="AP18" s="174">
        <f>'гориво_бр. деца'!AQ18</f>
        <v>0</v>
      </c>
      <c r="AQ18" s="174">
        <f>'гориво_бр. деца'!AR18</f>
        <v>0</v>
      </c>
      <c r="AR18" s="174">
        <f>'гориво_бр. деца'!AS18</f>
        <v>142128.25531914894</v>
      </c>
      <c r="AS18" s="27">
        <f t="shared" si="9"/>
        <v>1325.8918887048858</v>
      </c>
      <c r="AT18" s="28"/>
    </row>
    <row r="19" spans="1:47" ht="18" customHeight="1" x14ac:dyDescent="0.2">
      <c r="A19" s="507" t="s">
        <v>24</v>
      </c>
      <c r="B19" s="508"/>
      <c r="C19" s="97">
        <f t="shared" ref="C19:H19" si="18">SUM(C10:C18)</f>
        <v>3085</v>
      </c>
      <c r="D19" s="98">
        <f t="shared" si="18"/>
        <v>4969935</v>
      </c>
      <c r="E19" s="98">
        <f>SUM(E10:E18)</f>
        <v>261000</v>
      </c>
      <c r="F19" s="99">
        <f t="shared" si="18"/>
        <v>4708935</v>
      </c>
      <c r="G19" s="100">
        <f t="shared" si="18"/>
        <v>4969935</v>
      </c>
      <c r="H19" s="98">
        <f t="shared" si="18"/>
        <v>4969935</v>
      </c>
      <c r="I19" s="98">
        <f t="shared" ref="I19:N19" si="19">SUM(I10:I18)</f>
        <v>4661845.6500000004</v>
      </c>
      <c r="J19" s="98">
        <f t="shared" si="19"/>
        <v>47089.349999999991</v>
      </c>
      <c r="K19" s="98">
        <f t="shared" si="19"/>
        <v>12146.697832500002</v>
      </c>
      <c r="L19" s="98">
        <f t="shared" si="19"/>
        <v>6505.3937024999996</v>
      </c>
      <c r="M19" s="98">
        <f>SUM(M10:M18)</f>
        <v>15723.133964999997</v>
      </c>
      <c r="N19" s="98">
        <f t="shared" si="19"/>
        <v>12710.828245499999</v>
      </c>
      <c r="O19" s="98">
        <f>SUM(O10:O18)</f>
        <v>47086.053745499994</v>
      </c>
      <c r="P19" s="98">
        <f t="shared" si="1"/>
        <v>4708931.7037455002</v>
      </c>
      <c r="Q19" s="97">
        <f>SUM(Q10:Q18)</f>
        <v>73</v>
      </c>
      <c r="R19" s="98">
        <f t="shared" ref="R19:AD19" si="20">SUM(R10:R18)</f>
        <v>27229</v>
      </c>
      <c r="S19" s="97">
        <f t="shared" si="20"/>
        <v>2</v>
      </c>
      <c r="T19" s="97">
        <f t="shared" si="20"/>
        <v>6140</v>
      </c>
      <c r="U19" s="98">
        <f t="shared" si="20"/>
        <v>3085</v>
      </c>
      <c r="V19" s="98">
        <f>SUM(V10:V18)</f>
        <v>77125</v>
      </c>
      <c r="W19" s="98">
        <f>SUM(W10:W18)</f>
        <v>4</v>
      </c>
      <c r="X19" s="98">
        <f>SUM(X10:X18)</f>
        <v>3448</v>
      </c>
      <c r="Y19" s="101">
        <f>SUM(Y10:Y18)</f>
        <v>525</v>
      </c>
      <c r="Z19" s="101">
        <f t="shared" si="20"/>
        <v>45675</v>
      </c>
      <c r="AA19" s="101">
        <f t="shared" si="20"/>
        <v>1323</v>
      </c>
      <c r="AB19" s="98">
        <f t="shared" si="20"/>
        <v>95256</v>
      </c>
      <c r="AC19" s="98">
        <f t="shared" si="20"/>
        <v>1675</v>
      </c>
      <c r="AD19" s="102">
        <f t="shared" si="20"/>
        <v>971500</v>
      </c>
      <c r="AE19" s="196">
        <f>P19+E19+R19+T19+V19+Z19+AB19+AD19+X19</f>
        <v>6196304.7037455002</v>
      </c>
      <c r="AF19" s="175">
        <f>'гориво_бр. деца'!AG19</f>
        <v>124</v>
      </c>
      <c r="AG19" s="175">
        <f>'гориво_бр. деца'!AH19</f>
        <v>40424</v>
      </c>
      <c r="AH19" s="175" t="e">
        <f>'гориво_бр. деца'!AI19</f>
        <v>#REF!</v>
      </c>
      <c r="AI19" s="175" t="e">
        <f>'гориво_бр. деца'!AJ19</f>
        <v>#REF!</v>
      </c>
      <c r="AJ19" s="194">
        <f>'гориво_бр. деца'!AK19</f>
        <v>267604</v>
      </c>
      <c r="AK19" s="175">
        <f>'гориво_бр. деца'!AL19</f>
        <v>1</v>
      </c>
      <c r="AL19" s="175">
        <f>'гориво_бр. деца'!AM19</f>
        <v>3000</v>
      </c>
      <c r="AM19" s="175">
        <f>'гориво_бр. деца'!AN19</f>
        <v>3</v>
      </c>
      <c r="AN19" s="175">
        <f>'гориво_бр. деца'!AO19</f>
        <v>15000</v>
      </c>
      <c r="AO19" s="175">
        <f>'гориво_бр. деца'!AP19</f>
        <v>4</v>
      </c>
      <c r="AP19" s="175">
        <f>'гориво_бр. деца'!AQ19</f>
        <v>24000</v>
      </c>
      <c r="AQ19" s="175">
        <f>'гориво_бр. деца'!AR19</f>
        <v>42000</v>
      </c>
      <c r="AR19" s="175">
        <f>'гориво_бр. деца'!AS19</f>
        <v>7134655.0000000009</v>
      </c>
      <c r="AS19" s="27">
        <f t="shared" si="9"/>
        <v>-3.2962544999973034</v>
      </c>
      <c r="AT19" s="28"/>
      <c r="AU19" s="114">
        <f>SUM(AE19,AJ19)</f>
        <v>6463908.7037455002</v>
      </c>
    </row>
    <row r="20" spans="1:47" ht="16.5" customHeight="1" x14ac:dyDescent="0.2">
      <c r="A20" s="34">
        <v>10</v>
      </c>
      <c r="B20" s="35" t="s">
        <v>25</v>
      </c>
      <c r="C20" s="36">
        <v>71</v>
      </c>
      <c r="D20" s="20">
        <f t="shared" si="10"/>
        <v>114381</v>
      </c>
      <c r="E20" s="36"/>
      <c r="F20" s="36"/>
      <c r="G20" s="36"/>
      <c r="H20" s="36">
        <f>C20*D9</f>
        <v>114381</v>
      </c>
      <c r="I20" s="36"/>
      <c r="J20" s="36"/>
      <c r="K20" s="36"/>
      <c r="L20" s="36"/>
      <c r="M20" s="36"/>
      <c r="N20" s="36"/>
      <c r="O20" s="36"/>
      <c r="P20" s="36"/>
      <c r="Q20" s="36">
        <v>25</v>
      </c>
      <c r="R20" s="20">
        <f>Q20*$R$9</f>
        <v>9325</v>
      </c>
      <c r="S20" s="36">
        <v>-1</v>
      </c>
      <c r="T20" s="20">
        <f>S20*$T$9</f>
        <v>-3070</v>
      </c>
      <c r="U20" s="36">
        <v>71</v>
      </c>
      <c r="V20" s="20">
        <f>U20*$V$9</f>
        <v>1775</v>
      </c>
      <c r="W20" s="36">
        <v>1</v>
      </c>
      <c r="X20" s="20">
        <f>W20*$X$9</f>
        <v>862</v>
      </c>
      <c r="Y20" s="36">
        <v>-61</v>
      </c>
      <c r="Z20" s="24">
        <f>Y20*$Z$9</f>
        <v>-5307</v>
      </c>
      <c r="AA20" s="36">
        <v>-2</v>
      </c>
      <c r="AB20" s="20">
        <f>AA20*$AB$9</f>
        <v>-144</v>
      </c>
      <c r="AC20" s="36">
        <v>16</v>
      </c>
      <c r="AD20" s="78">
        <f>AC20*$AD$9</f>
        <v>9280</v>
      </c>
      <c r="AE20" s="196">
        <f t="shared" si="16"/>
        <v>12721</v>
      </c>
      <c r="AF20" s="164">
        <f>'гориво_бр. деца'!AG20</f>
        <v>3</v>
      </c>
      <c r="AG20" s="164">
        <f>'гориво_бр. деца'!AH20</f>
        <v>978</v>
      </c>
      <c r="AH20" s="164" t="e">
        <f>'гориво_бр. деца'!AI20</f>
        <v>#REF!</v>
      </c>
      <c r="AI20" s="164" t="e">
        <f>'гориво_бр. деца'!AJ20</f>
        <v>#REF!</v>
      </c>
      <c r="AJ20" s="193">
        <f>'гориво_бр. деца'!AK20</f>
        <v>8257</v>
      </c>
      <c r="AK20" s="164">
        <f>'гориво_бр. деца'!AL20</f>
        <v>0</v>
      </c>
      <c r="AL20" s="164">
        <f>'гориво_бр. деца'!AM20</f>
        <v>0</v>
      </c>
      <c r="AM20" s="164">
        <f>'гориво_бр. деца'!AN20</f>
        <v>0</v>
      </c>
      <c r="AN20" s="164">
        <f>'гориво_бр. деца'!AO20</f>
        <v>0</v>
      </c>
      <c r="AO20" s="164">
        <f>'гориво_бр. деца'!AP20</f>
        <v>-1</v>
      </c>
      <c r="AP20" s="164">
        <f>'гориво_бр. деца'!AQ20</f>
        <v>-6000</v>
      </c>
      <c r="AQ20" s="164">
        <f>'гориво_бр. деца'!AR20</f>
        <v>-6000</v>
      </c>
      <c r="AR20" s="164">
        <f>'гориво_бр. деца'!AS20</f>
        <v>305853.99999999907</v>
      </c>
      <c r="AS20" s="27"/>
      <c r="AT20" s="37"/>
      <c r="AU20" s="114">
        <f>SUM(AE20,AJ20)</f>
        <v>20978</v>
      </c>
    </row>
    <row r="21" spans="1:47" ht="20.25" customHeight="1" thickBot="1" x14ac:dyDescent="0.25">
      <c r="A21" s="38"/>
      <c r="B21" s="39" t="s">
        <v>26</v>
      </c>
      <c r="C21" s="40">
        <f>C19+C20</f>
        <v>3156</v>
      </c>
      <c r="D21" s="40">
        <f>D19+D20</f>
        <v>5084316</v>
      </c>
      <c r="E21" s="41">
        <v>261000</v>
      </c>
      <c r="F21" s="42"/>
      <c r="G21" s="42">
        <f t="shared" ref="G21:AD21" si="21">G19+G20</f>
        <v>4969935</v>
      </c>
      <c r="H21" s="41">
        <f t="shared" si="21"/>
        <v>5084316</v>
      </c>
      <c r="I21" s="41"/>
      <c r="J21" s="41"/>
      <c r="K21" s="41"/>
      <c r="L21" s="41"/>
      <c r="M21" s="41"/>
      <c r="N21" s="41"/>
      <c r="O21" s="41"/>
      <c r="P21" s="41">
        <v>4708935</v>
      </c>
      <c r="Q21" s="41">
        <f t="shared" si="21"/>
        <v>98</v>
      </c>
      <c r="R21" s="41">
        <f t="shared" si="21"/>
        <v>36554</v>
      </c>
      <c r="S21" s="41">
        <f t="shared" si="21"/>
        <v>1</v>
      </c>
      <c r="T21" s="41">
        <f t="shared" si="21"/>
        <v>3070</v>
      </c>
      <c r="U21" s="41">
        <f t="shared" si="21"/>
        <v>3156</v>
      </c>
      <c r="V21" s="41">
        <f t="shared" si="21"/>
        <v>78900</v>
      </c>
      <c r="W21" s="41">
        <f t="shared" si="21"/>
        <v>5</v>
      </c>
      <c r="X21" s="41">
        <f t="shared" si="21"/>
        <v>4310</v>
      </c>
      <c r="Y21" s="41">
        <f t="shared" si="21"/>
        <v>464</v>
      </c>
      <c r="Z21" s="41">
        <f t="shared" si="21"/>
        <v>40368</v>
      </c>
      <c r="AA21" s="41">
        <f t="shared" si="21"/>
        <v>1321</v>
      </c>
      <c r="AB21" s="41">
        <f t="shared" si="21"/>
        <v>95112</v>
      </c>
      <c r="AC21" s="41">
        <f t="shared" si="21"/>
        <v>1691</v>
      </c>
      <c r="AD21" s="43">
        <f t="shared" si="21"/>
        <v>980780</v>
      </c>
      <c r="AE21" s="196">
        <f>H21+R21+T21+V21+Z21+AB21+AD21+X21</f>
        <v>6323410</v>
      </c>
      <c r="AF21" s="164">
        <f>'гориво_бр. деца'!AG21</f>
        <v>127</v>
      </c>
      <c r="AG21" s="164">
        <f>'гориво_бр. деца'!AH21</f>
        <v>41402</v>
      </c>
      <c r="AH21" s="164" t="e">
        <f>'гориво_бр. деца'!AI21</f>
        <v>#REF!</v>
      </c>
      <c r="AI21" s="164" t="e">
        <f>'гориво_бр. деца'!AJ21</f>
        <v>#REF!</v>
      </c>
      <c r="AJ21" s="193">
        <f>'гориво_бр. деца'!AK21</f>
        <v>45593</v>
      </c>
      <c r="AK21" s="164">
        <f>'гориво_бр. деца'!AL21</f>
        <v>1</v>
      </c>
      <c r="AL21" s="164">
        <f>'гориво_бр. деца'!AM21</f>
        <v>3000</v>
      </c>
      <c r="AM21" s="164">
        <f>'гориво_бр. деца'!AN21</f>
        <v>3</v>
      </c>
      <c r="AN21" s="164">
        <f>'гориво_бр. деца'!AO21</f>
        <v>15000</v>
      </c>
      <c r="AO21" s="164">
        <f>'гориво_бр. деца'!AP21</f>
        <v>3</v>
      </c>
      <c r="AP21" s="164">
        <f>'гориво_бр. деца'!AQ21</f>
        <v>18000</v>
      </c>
      <c r="AQ21" s="164">
        <f>'гориво_бр. деца'!AR21</f>
        <v>36000</v>
      </c>
      <c r="AR21" s="164">
        <f>'гориво_бр. деца'!AS21</f>
        <v>7210241</v>
      </c>
      <c r="AS21" s="27"/>
      <c r="AT21" s="37"/>
      <c r="AU21" s="114">
        <f>SUM(AE21,AJ21)</f>
        <v>6369003</v>
      </c>
    </row>
    <row r="22" spans="1:47" ht="35.25" customHeight="1" x14ac:dyDescent="0.2">
      <c r="A22" s="44"/>
      <c r="B22" s="44"/>
      <c r="C22" s="45"/>
      <c r="D22" s="45"/>
      <c r="E22" s="45"/>
      <c r="F22" s="46">
        <f>D19-E19</f>
        <v>4708935</v>
      </c>
      <c r="G22" s="27"/>
      <c r="H22" s="27"/>
      <c r="I22" s="27"/>
      <c r="J22" s="136">
        <f>SUM(J10:J15,J16:J18)</f>
        <v>47089.349999999991</v>
      </c>
      <c r="K22" s="136"/>
      <c r="L22" s="136"/>
      <c r="M22" s="136"/>
      <c r="N22" s="136"/>
      <c r="O22" s="27"/>
      <c r="P22" s="27"/>
      <c r="Q22" s="47"/>
      <c r="R22" s="47"/>
      <c r="S22" s="47"/>
      <c r="T22" s="47"/>
      <c r="U22" s="47"/>
      <c r="V22" s="47"/>
      <c r="W22" s="47"/>
      <c r="X22" s="47"/>
      <c r="Y22" s="45"/>
      <c r="Z22" s="45"/>
      <c r="AA22" s="27"/>
      <c r="AB22" s="47"/>
      <c r="AC22" s="47"/>
      <c r="AD22" s="47"/>
      <c r="AE22" s="124">
        <f>SUM(AE10:AE18)</f>
        <v>6196304.7037455011</v>
      </c>
      <c r="AF22" s="124"/>
      <c r="AG22" s="124"/>
      <c r="AH22" s="124"/>
      <c r="AI22" s="124"/>
      <c r="AJ22" s="195"/>
      <c r="AK22" s="124"/>
      <c r="AL22" s="124"/>
      <c r="AM22" s="124"/>
      <c r="AN22" s="124"/>
      <c r="AO22" s="124"/>
      <c r="AP22" s="124"/>
      <c r="AQ22" s="124"/>
      <c r="AR22" s="124"/>
      <c r="AS22" s="48"/>
      <c r="AT22" s="6"/>
    </row>
    <row r="23" spans="1:47" ht="15.75" customHeight="1" x14ac:dyDescent="0.25">
      <c r="A23" s="44"/>
      <c r="B23" s="49"/>
      <c r="C23" s="486" t="s">
        <v>27</v>
      </c>
      <c r="D23" s="486"/>
      <c r="E23" s="49"/>
      <c r="F23" s="49"/>
      <c r="G23" s="49"/>
      <c r="H23" s="49"/>
      <c r="I23" s="49"/>
      <c r="J23" s="137">
        <f>SUM(K23,L23,M23,N23)</f>
        <v>47086.053745500001</v>
      </c>
      <c r="K23" s="139">
        <f>SUM(K16:K18)</f>
        <v>12146.697832500002</v>
      </c>
      <c r="L23" s="139">
        <f>SUM(L10)</f>
        <v>6505.3937024999996</v>
      </c>
      <c r="M23" s="137">
        <f>SUM(M11:M15)</f>
        <v>15723.133964999997</v>
      </c>
      <c r="N23" s="137">
        <f>SUM(N10:N18)</f>
        <v>12710.828245499999</v>
      </c>
      <c r="O23" s="114"/>
      <c r="P23" s="114"/>
      <c r="Q23" s="49"/>
      <c r="R23" s="50"/>
      <c r="S23" s="50"/>
      <c r="T23" s="490"/>
      <c r="U23" s="490"/>
      <c r="V23" s="490"/>
      <c r="W23" s="490"/>
      <c r="X23" s="490"/>
      <c r="Y23" s="490"/>
      <c r="Z23" s="490"/>
      <c r="AA23" s="49"/>
      <c r="AB23" s="505" t="s">
        <v>28</v>
      </c>
      <c r="AC23" s="505"/>
      <c r="AD23" s="505"/>
      <c r="AE23" s="505"/>
      <c r="AF23" s="148"/>
      <c r="AG23" s="148"/>
      <c r="AH23" s="148"/>
      <c r="AI23" s="148"/>
      <c r="AJ23" s="148"/>
      <c r="AK23" s="148"/>
      <c r="AL23" s="148"/>
      <c r="AM23" s="148"/>
      <c r="AN23" s="148"/>
      <c r="AO23" s="148"/>
      <c r="AP23" s="148"/>
      <c r="AQ23" s="148"/>
      <c r="AR23" s="148"/>
    </row>
    <row r="24" spans="1:47" ht="15.75" customHeight="1" x14ac:dyDescent="0.25">
      <c r="A24" s="44"/>
      <c r="B24" s="49"/>
      <c r="C24" s="49"/>
      <c r="D24" s="52" t="s">
        <v>29</v>
      </c>
      <c r="E24" s="49"/>
      <c r="F24" s="49"/>
      <c r="G24" s="49"/>
      <c r="H24" s="49"/>
      <c r="I24" s="110">
        <f>SUM(I10:I15)</f>
        <v>4228150.4469043761</v>
      </c>
      <c r="J24" s="138"/>
      <c r="K24" s="139"/>
      <c r="L24" s="139"/>
      <c r="M24" s="139"/>
      <c r="N24" s="139"/>
      <c r="O24" s="111"/>
      <c r="P24" s="111"/>
      <c r="Q24" s="49"/>
      <c r="R24" s="50"/>
      <c r="S24" s="50"/>
      <c r="T24" s="50"/>
      <c r="U24" s="52"/>
      <c r="V24" s="49"/>
      <c r="W24" s="49"/>
      <c r="X24" s="49"/>
      <c r="Y24" s="49"/>
      <c r="Z24" s="49"/>
      <c r="AA24" s="49"/>
      <c r="AB24" s="51"/>
      <c r="AC24" s="51"/>
      <c r="AD24" s="485" t="s">
        <v>30</v>
      </c>
      <c r="AE24" s="485"/>
      <c r="AF24" s="146"/>
      <c r="AG24" s="146"/>
      <c r="AH24" s="146"/>
      <c r="AI24" s="146"/>
      <c r="AJ24" s="146"/>
      <c r="AK24" s="146"/>
      <c r="AL24" s="146"/>
      <c r="AM24" s="146"/>
      <c r="AN24" s="146"/>
      <c r="AO24" s="146"/>
      <c r="AP24" s="146"/>
      <c r="AQ24" s="146"/>
      <c r="AR24" s="146"/>
    </row>
    <row r="25" spans="1:47" ht="7.5" customHeight="1" x14ac:dyDescent="0.2">
      <c r="B25" s="49"/>
      <c r="C25" s="49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86"/>
      <c r="V25" s="486"/>
      <c r="W25" s="486"/>
      <c r="X25" s="486"/>
      <c r="Y25" s="486"/>
      <c r="Z25" s="486"/>
      <c r="AA25" s="486"/>
      <c r="AB25" s="53"/>
      <c r="AC25" s="53"/>
      <c r="AD25" s="49"/>
      <c r="AE25" s="49"/>
      <c r="AF25" s="49"/>
      <c r="AG25" s="49"/>
      <c r="AH25" s="49"/>
      <c r="AI25" s="49"/>
      <c r="AJ25" s="49"/>
      <c r="AK25" s="49"/>
      <c r="AL25" s="49"/>
      <c r="AM25" s="49"/>
      <c r="AN25" s="49"/>
      <c r="AO25" s="49"/>
      <c r="AP25" s="49"/>
      <c r="AQ25" s="49"/>
      <c r="AR25" s="49"/>
    </row>
    <row r="26" spans="1:47" ht="27" customHeight="1" x14ac:dyDescent="0.25">
      <c r="B26" s="52"/>
      <c r="C26" s="52"/>
      <c r="D26" s="52"/>
      <c r="E26" s="52"/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3"/>
      <c r="R26" s="53"/>
      <c r="S26" s="53"/>
      <c r="T26" s="53"/>
      <c r="U26" s="487"/>
      <c r="V26" s="487"/>
      <c r="W26" s="487"/>
      <c r="X26" s="487"/>
      <c r="Y26" s="487"/>
      <c r="Z26" s="487"/>
      <c r="AA26" s="487"/>
      <c r="AB26" s="487"/>
      <c r="AC26" s="487"/>
      <c r="AD26" s="487"/>
      <c r="AE26" s="487"/>
      <c r="AF26" s="147"/>
      <c r="AG26" s="147"/>
      <c r="AH26" s="147"/>
      <c r="AI26" s="147"/>
      <c r="AJ26" s="147"/>
      <c r="AK26" s="147"/>
      <c r="AL26" s="147"/>
      <c r="AM26" s="147"/>
      <c r="AN26" s="147"/>
      <c r="AO26" s="147"/>
      <c r="AP26" s="147"/>
      <c r="AQ26" s="147"/>
      <c r="AR26" s="147"/>
    </row>
    <row r="27" spans="1:47" ht="20.25" customHeight="1" x14ac:dyDescent="0.25">
      <c r="A27" s="10"/>
      <c r="B27" s="54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5"/>
      <c r="R27" s="55"/>
      <c r="S27" s="55"/>
      <c r="T27" s="55"/>
      <c r="U27" s="56"/>
      <c r="V27" s="483"/>
      <c r="W27" s="483"/>
      <c r="X27" s="483"/>
      <c r="Y27" s="483"/>
      <c r="Z27" s="483"/>
      <c r="AA27" s="483"/>
      <c r="AB27" s="483"/>
      <c r="AC27" s="483"/>
      <c r="AD27" s="483"/>
      <c r="AE27" s="483"/>
      <c r="AF27" s="144"/>
      <c r="AG27" s="144"/>
      <c r="AH27" s="144"/>
      <c r="AI27" s="144"/>
      <c r="AJ27" s="144"/>
      <c r="AK27" s="144"/>
      <c r="AL27" s="144"/>
      <c r="AM27" s="144"/>
      <c r="AN27" s="144"/>
      <c r="AO27" s="144"/>
      <c r="AP27" s="144"/>
      <c r="AQ27" s="144"/>
      <c r="AR27" s="144"/>
    </row>
    <row r="28" spans="1:47" ht="15.75" customHeight="1" x14ac:dyDescent="0.2">
      <c r="A28" s="10"/>
      <c r="B28" s="57"/>
      <c r="C28" s="58"/>
      <c r="D28" s="58"/>
      <c r="E28" s="58"/>
      <c r="F28" s="58"/>
      <c r="G28" s="58"/>
      <c r="H28" s="58"/>
      <c r="I28" s="58"/>
      <c r="J28" s="58"/>
      <c r="K28" s="58"/>
      <c r="L28" s="58"/>
      <c r="M28" s="58"/>
      <c r="N28" s="58"/>
      <c r="O28" s="58"/>
      <c r="P28" s="58"/>
      <c r="Q28" s="55"/>
      <c r="R28" s="55"/>
      <c r="S28" s="55"/>
      <c r="T28" s="55"/>
      <c r="U28" s="55"/>
      <c r="V28" s="55"/>
      <c r="W28" s="55"/>
      <c r="X28" s="55"/>
      <c r="Y28" s="55"/>
      <c r="Z28" s="55"/>
      <c r="AA28" s="484"/>
      <c r="AB28" s="484"/>
      <c r="AC28" s="484"/>
      <c r="AD28" s="484"/>
      <c r="AE28" s="484"/>
      <c r="AF28" s="145"/>
      <c r="AG28" s="145"/>
      <c r="AH28" s="145"/>
      <c r="AI28" s="145"/>
      <c r="AJ28" s="145"/>
      <c r="AK28" s="145"/>
      <c r="AL28" s="145"/>
      <c r="AM28" s="145"/>
      <c r="AN28" s="145"/>
      <c r="AO28" s="145"/>
      <c r="AP28" s="145"/>
      <c r="AQ28" s="145"/>
      <c r="AR28" s="145"/>
    </row>
    <row r="29" spans="1:47" x14ac:dyDescent="0.2">
      <c r="A29" s="10"/>
      <c r="B29" s="59"/>
      <c r="C29" s="60"/>
      <c r="D29" s="60"/>
      <c r="E29" s="60"/>
      <c r="F29" s="61"/>
      <c r="G29" s="62"/>
      <c r="H29" s="62"/>
      <c r="I29" s="62"/>
      <c r="J29" s="62"/>
      <c r="K29" s="62"/>
      <c r="L29" s="62"/>
      <c r="M29" s="62"/>
      <c r="N29" s="62"/>
      <c r="O29" s="62"/>
      <c r="P29" s="62"/>
      <c r="Q29" s="63"/>
      <c r="R29" s="63"/>
      <c r="S29" s="63"/>
      <c r="T29" s="63"/>
      <c r="U29" s="63"/>
      <c r="V29" s="63"/>
      <c r="W29" s="63"/>
      <c r="X29" s="63"/>
      <c r="Y29" s="63"/>
      <c r="Z29" s="63"/>
      <c r="AA29" s="63"/>
      <c r="AB29" s="63"/>
      <c r="AC29" s="63"/>
      <c r="AD29" s="63"/>
      <c r="AE29" s="63"/>
      <c r="AF29" s="63"/>
      <c r="AG29" s="63"/>
      <c r="AH29" s="63"/>
      <c r="AI29" s="63"/>
      <c r="AJ29" s="63"/>
      <c r="AK29" s="63"/>
      <c r="AL29" s="63"/>
      <c r="AM29" s="63"/>
      <c r="AN29" s="63"/>
      <c r="AO29" s="63"/>
      <c r="AP29" s="63"/>
      <c r="AQ29" s="63"/>
      <c r="AR29" s="63"/>
    </row>
    <row r="30" spans="1:47" x14ac:dyDescent="0.2">
      <c r="A30" s="64"/>
      <c r="B30" s="59"/>
      <c r="C30" s="60"/>
      <c r="D30" s="60"/>
      <c r="E30" s="60"/>
      <c r="F30" s="60"/>
      <c r="G30" s="60"/>
      <c r="H30" s="60"/>
      <c r="I30" s="60"/>
      <c r="J30" s="60"/>
      <c r="K30" s="60"/>
      <c r="L30" s="60"/>
      <c r="M30" s="60"/>
      <c r="N30" s="60"/>
      <c r="O30" s="60"/>
      <c r="P30" s="60"/>
      <c r="Q30" s="63"/>
      <c r="R30" s="63"/>
      <c r="S30" s="63"/>
      <c r="T30" s="63"/>
      <c r="U30" s="63"/>
      <c r="V30" s="63"/>
      <c r="W30" s="63"/>
      <c r="X30" s="63"/>
      <c r="Y30" s="63"/>
      <c r="Z30" s="63"/>
      <c r="AA30" s="63"/>
      <c r="AB30" s="63"/>
      <c r="AC30" s="63"/>
      <c r="AD30" s="63"/>
      <c r="AE30" s="63"/>
      <c r="AF30" s="63"/>
      <c r="AG30" s="63"/>
      <c r="AH30" s="63"/>
      <c r="AI30" s="63"/>
      <c r="AJ30" s="63"/>
      <c r="AK30" s="63"/>
      <c r="AL30" s="63"/>
      <c r="AM30" s="63"/>
      <c r="AN30" s="63"/>
      <c r="AO30" s="63"/>
      <c r="AP30" s="63"/>
      <c r="AQ30" s="63"/>
      <c r="AR30" s="63"/>
    </row>
    <row r="31" spans="1:47" x14ac:dyDescent="0.2">
      <c r="A31" s="65"/>
      <c r="B31" s="59"/>
      <c r="C31" s="66"/>
      <c r="D31" s="60"/>
      <c r="E31" s="60"/>
      <c r="F31" s="66"/>
      <c r="G31" s="66"/>
      <c r="H31" s="66"/>
      <c r="I31" s="66"/>
      <c r="J31" s="66"/>
      <c r="K31" s="66"/>
      <c r="L31" s="66"/>
      <c r="M31" s="66"/>
      <c r="N31" s="66"/>
      <c r="O31" s="66"/>
      <c r="P31" s="66"/>
      <c r="Q31" s="63"/>
      <c r="R31" s="63"/>
      <c r="S31" s="63"/>
      <c r="T31" s="63"/>
      <c r="U31" s="63"/>
      <c r="V31" s="63"/>
      <c r="W31" s="63"/>
      <c r="X31" s="63"/>
      <c r="Y31" s="63"/>
      <c r="Z31" s="63"/>
      <c r="AA31" s="63"/>
      <c r="AB31" s="63"/>
      <c r="AC31" s="63"/>
      <c r="AD31" s="63"/>
      <c r="AE31" s="63"/>
      <c r="AF31" s="63"/>
      <c r="AG31" s="63"/>
      <c r="AH31" s="63"/>
      <c r="AI31" s="63"/>
      <c r="AJ31" s="63"/>
      <c r="AK31" s="63"/>
      <c r="AL31" s="63"/>
      <c r="AM31" s="63"/>
      <c r="AN31" s="63"/>
      <c r="AO31" s="63"/>
      <c r="AP31" s="63"/>
      <c r="AQ31" s="63"/>
      <c r="AR31" s="63"/>
    </row>
    <row r="32" spans="1:47" x14ac:dyDescent="0.2">
      <c r="A32" s="65"/>
      <c r="B32" s="67"/>
      <c r="C32" s="48"/>
      <c r="D32" s="48"/>
      <c r="E32" s="48"/>
      <c r="F32" s="9"/>
      <c r="G32" s="68"/>
      <c r="H32" s="68"/>
      <c r="I32" s="68"/>
      <c r="J32" s="68"/>
      <c r="K32" s="68"/>
      <c r="L32" s="68"/>
      <c r="M32" s="68"/>
      <c r="N32" s="68"/>
      <c r="O32" s="68"/>
      <c r="P32" s="68"/>
    </row>
    <row r="33" spans="1:17" x14ac:dyDescent="0.2">
      <c r="A33" s="64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</row>
    <row r="34" spans="1:17" x14ac:dyDescent="0.2">
      <c r="A34" s="65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</row>
    <row r="35" spans="1:17" x14ac:dyDescent="0.2">
      <c r="A35" s="65"/>
      <c r="B35" s="6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</row>
    <row r="36" spans="1:17" x14ac:dyDescent="0.2">
      <c r="A36" s="64"/>
      <c r="B36" s="6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</row>
    <row r="37" spans="1:17" x14ac:dyDescent="0.2">
      <c r="A37" s="65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</row>
    <row r="38" spans="1:17" x14ac:dyDescent="0.2">
      <c r="A38" s="65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</row>
    <row r="39" spans="1:17" x14ac:dyDescent="0.2">
      <c r="A39" s="64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</row>
    <row r="40" spans="1:17" x14ac:dyDescent="0.2">
      <c r="A40" s="65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1:17" x14ac:dyDescent="0.2">
      <c r="A41" s="44"/>
      <c r="B41" s="44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</row>
    <row r="42" spans="1:17" x14ac:dyDescent="0.2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</row>
    <row r="43" spans="1:17" x14ac:dyDescent="0.2">
      <c r="A43" s="70"/>
      <c r="B43" s="70"/>
      <c r="C43" s="70"/>
      <c r="D43" s="48"/>
      <c r="E43" s="48"/>
      <c r="F43" s="48"/>
      <c r="G43" s="48"/>
      <c r="H43" s="48"/>
      <c r="I43" s="48"/>
      <c r="J43" s="48"/>
      <c r="K43" s="48"/>
      <c r="L43" s="48"/>
      <c r="M43" s="48"/>
      <c r="N43" s="48"/>
      <c r="O43" s="48"/>
      <c r="P43" s="48"/>
      <c r="Q43" s="48"/>
    </row>
    <row r="44" spans="1:17" ht="6.75" customHeight="1" x14ac:dyDescent="0.2">
      <c r="A44" s="48"/>
      <c r="B44" s="48"/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  <c r="N44" s="48"/>
      <c r="O44" s="48"/>
      <c r="P44" s="48"/>
      <c r="Q44" s="48"/>
    </row>
    <row r="45" spans="1:17" ht="5.25" customHeight="1" x14ac:dyDescent="0.2">
      <c r="A45" s="48"/>
      <c r="B45" s="48"/>
      <c r="C45" s="48"/>
      <c r="D45" s="48"/>
      <c r="E45" s="48"/>
      <c r="F45" s="48"/>
      <c r="G45" s="48"/>
      <c r="H45" s="48"/>
      <c r="I45" s="48"/>
      <c r="J45" s="48"/>
      <c r="K45" s="48"/>
      <c r="L45" s="48"/>
      <c r="M45" s="48"/>
      <c r="N45" s="48"/>
      <c r="O45" s="48"/>
      <c r="P45" s="48"/>
      <c r="Q45" s="48"/>
    </row>
    <row r="46" spans="1:17" x14ac:dyDescent="0.2">
      <c r="A46" s="68"/>
      <c r="B46" s="68"/>
      <c r="C46" s="68"/>
      <c r="D46" s="68"/>
      <c r="E46" s="68"/>
      <c r="F46" s="68"/>
      <c r="G46" s="68"/>
      <c r="H46" s="68"/>
      <c r="I46" s="68"/>
      <c r="J46" s="68"/>
      <c r="K46" s="68"/>
      <c r="L46" s="68"/>
      <c r="M46" s="68"/>
      <c r="N46" s="68"/>
      <c r="O46" s="68"/>
      <c r="P46" s="68"/>
      <c r="Q46" s="48"/>
    </row>
    <row r="47" spans="1:17" x14ac:dyDescent="0.2">
      <c r="A47" s="68"/>
      <c r="B47" s="68"/>
      <c r="C47" s="68"/>
      <c r="D47" s="68"/>
      <c r="E47" s="68"/>
      <c r="F47" s="68"/>
      <c r="G47" s="68"/>
      <c r="H47" s="68"/>
      <c r="I47" s="68"/>
      <c r="J47" s="68"/>
      <c r="K47" s="68"/>
      <c r="L47" s="68"/>
      <c r="M47" s="68"/>
      <c r="N47" s="68"/>
      <c r="O47" s="68"/>
      <c r="P47" s="68"/>
      <c r="Q47" s="48"/>
    </row>
    <row r="48" spans="1:17" x14ac:dyDescent="0.2">
      <c r="A48" s="68"/>
      <c r="B48" s="68"/>
      <c r="C48" s="48"/>
      <c r="D48" s="48"/>
      <c r="E48" s="48"/>
      <c r="F48" s="71"/>
      <c r="G48" s="68"/>
      <c r="H48" s="68"/>
      <c r="I48" s="68"/>
      <c r="J48" s="68"/>
      <c r="K48" s="68"/>
      <c r="L48" s="68"/>
      <c r="M48" s="68"/>
      <c r="N48" s="68"/>
      <c r="O48" s="68"/>
      <c r="P48" s="68"/>
      <c r="Q48" s="48"/>
    </row>
    <row r="49" spans="1:17" x14ac:dyDescent="0.2">
      <c r="A49" s="72"/>
      <c r="B49" s="48"/>
      <c r="C49" s="48"/>
      <c r="D49" s="48"/>
      <c r="E49" s="48"/>
      <c r="F49" s="48"/>
      <c r="G49" s="48"/>
      <c r="H49" s="48"/>
      <c r="I49" s="48"/>
      <c r="J49" s="48"/>
      <c r="K49" s="48"/>
      <c r="L49" s="48"/>
      <c r="M49" s="48"/>
      <c r="N49" s="48"/>
      <c r="O49" s="48"/>
      <c r="P49" s="48"/>
      <c r="Q49" s="48"/>
    </row>
    <row r="50" spans="1:17" x14ac:dyDescent="0.2">
      <c r="A50" s="73"/>
      <c r="B50" s="74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  <c r="N50" s="48"/>
      <c r="O50" s="48"/>
      <c r="P50" s="48"/>
      <c r="Q50" s="48"/>
    </row>
    <row r="51" spans="1:17" x14ac:dyDescent="0.2">
      <c r="A51" s="73"/>
      <c r="B51" s="74"/>
      <c r="C51" s="48"/>
      <c r="D51" s="48"/>
      <c r="E51" s="48"/>
      <c r="F51" s="48"/>
      <c r="G51" s="48"/>
      <c r="H51" s="48"/>
      <c r="I51" s="48"/>
      <c r="J51" s="48"/>
      <c r="K51" s="48"/>
      <c r="L51" s="48"/>
      <c r="M51" s="48"/>
      <c r="N51" s="48"/>
      <c r="O51" s="48"/>
      <c r="P51" s="48"/>
      <c r="Q51" s="48"/>
    </row>
    <row r="52" spans="1:17" x14ac:dyDescent="0.2">
      <c r="A52" s="72"/>
      <c r="B52" s="48"/>
      <c r="C52" s="48"/>
      <c r="D52" s="48"/>
      <c r="E52" s="48"/>
      <c r="F52" s="48"/>
      <c r="G52" s="48"/>
      <c r="H52" s="48"/>
      <c r="I52" s="48"/>
      <c r="J52" s="48"/>
      <c r="K52" s="48"/>
      <c r="L52" s="48"/>
      <c r="M52" s="48"/>
      <c r="N52" s="48"/>
      <c r="O52" s="48"/>
      <c r="P52" s="48"/>
      <c r="Q52" s="48"/>
    </row>
    <row r="53" spans="1:17" x14ac:dyDescent="0.2">
      <c r="A53" s="72"/>
      <c r="B53" s="48"/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  <c r="N53" s="48"/>
      <c r="O53" s="48"/>
      <c r="P53" s="48"/>
      <c r="Q53" s="48"/>
    </row>
    <row r="54" spans="1:17" x14ac:dyDescent="0.2">
      <c r="A54" s="73"/>
      <c r="B54" s="74"/>
      <c r="C54" s="48"/>
      <c r="D54" s="48"/>
      <c r="E54" s="48"/>
      <c r="F54" s="48"/>
      <c r="G54" s="48"/>
      <c r="H54" s="48"/>
      <c r="I54" s="48"/>
      <c r="J54" s="48"/>
      <c r="K54" s="48"/>
      <c r="L54" s="48"/>
      <c r="M54" s="48"/>
      <c r="N54" s="48"/>
      <c r="O54" s="48"/>
      <c r="P54" s="48"/>
      <c r="Q54" s="48"/>
    </row>
    <row r="55" spans="1:17" x14ac:dyDescent="0.2">
      <c r="A55" s="73"/>
      <c r="B55" s="74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  <c r="N55" s="48"/>
      <c r="O55" s="48"/>
      <c r="P55" s="48"/>
      <c r="Q55" s="48"/>
    </row>
    <row r="56" spans="1:17" x14ac:dyDescent="0.2">
      <c r="A56" s="72"/>
      <c r="B56" s="48"/>
      <c r="C56" s="48"/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  <c r="O56" s="48"/>
      <c r="P56" s="48"/>
      <c r="Q56" s="48"/>
    </row>
    <row r="57" spans="1:17" x14ac:dyDescent="0.2">
      <c r="A57" s="72"/>
      <c r="B57" s="48"/>
      <c r="C57" s="48"/>
      <c r="D57" s="48"/>
      <c r="E57" s="48"/>
      <c r="F57" s="48"/>
      <c r="G57" s="48"/>
      <c r="H57" s="48"/>
      <c r="I57" s="48"/>
      <c r="J57" s="48"/>
      <c r="K57" s="48"/>
      <c r="L57" s="48"/>
      <c r="M57" s="48"/>
      <c r="N57" s="48"/>
      <c r="O57" s="48"/>
      <c r="P57" s="48"/>
      <c r="Q57" s="48"/>
    </row>
    <row r="58" spans="1:17" x14ac:dyDescent="0.2">
      <c r="A58" s="73"/>
      <c r="B58" s="48"/>
      <c r="C58" s="48"/>
      <c r="D58" s="48"/>
      <c r="E58" s="48"/>
      <c r="F58" s="48"/>
      <c r="G58" s="48"/>
      <c r="H58" s="48"/>
      <c r="I58" s="48"/>
      <c r="J58" s="48"/>
      <c r="K58" s="48"/>
      <c r="L58" s="48"/>
      <c r="M58" s="48"/>
      <c r="N58" s="48"/>
      <c r="O58" s="48"/>
      <c r="P58" s="48"/>
      <c r="Q58" s="48"/>
    </row>
    <row r="59" spans="1:17" x14ac:dyDescent="0.2">
      <c r="A59" s="73"/>
      <c r="B59" s="48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  <c r="N59" s="48"/>
      <c r="O59" s="48"/>
      <c r="P59" s="48"/>
      <c r="Q59" s="48"/>
    </row>
    <row r="60" spans="1:17" x14ac:dyDescent="0.2">
      <c r="A60" s="72"/>
      <c r="B60" s="48"/>
      <c r="C60" s="48"/>
      <c r="D60" s="48"/>
      <c r="E60" s="48"/>
      <c r="F60" s="48"/>
      <c r="G60" s="48"/>
      <c r="H60" s="48"/>
      <c r="I60" s="48"/>
      <c r="J60" s="48"/>
      <c r="K60" s="48"/>
      <c r="L60" s="48"/>
      <c r="M60" s="48"/>
      <c r="N60" s="48"/>
      <c r="O60" s="48"/>
      <c r="P60" s="48"/>
      <c r="Q60" s="48"/>
    </row>
    <row r="61" spans="1:17" x14ac:dyDescent="0.2">
      <c r="A61" s="72"/>
      <c r="B61" s="48"/>
      <c r="C61" s="48"/>
      <c r="D61" s="48"/>
      <c r="E61" s="48"/>
      <c r="F61" s="48"/>
      <c r="G61" s="48"/>
      <c r="H61" s="48"/>
      <c r="I61" s="48"/>
      <c r="J61" s="48"/>
      <c r="K61" s="48"/>
      <c r="L61" s="48"/>
      <c r="M61" s="48"/>
      <c r="N61" s="48"/>
      <c r="O61" s="48"/>
      <c r="P61" s="48"/>
      <c r="Q61" s="48"/>
    </row>
    <row r="62" spans="1:17" x14ac:dyDescent="0.2">
      <c r="A62" s="73"/>
      <c r="B62" s="48"/>
      <c r="C62" s="48"/>
      <c r="D62" s="48"/>
      <c r="E62" s="48"/>
      <c r="F62" s="48"/>
      <c r="G62" s="48"/>
      <c r="H62" s="48"/>
      <c r="I62" s="48"/>
      <c r="J62" s="48"/>
      <c r="K62" s="48"/>
      <c r="L62" s="48"/>
      <c r="M62" s="48"/>
      <c r="N62" s="48"/>
      <c r="O62" s="48"/>
      <c r="P62" s="48"/>
      <c r="Q62" s="48"/>
    </row>
    <row r="63" spans="1:17" x14ac:dyDescent="0.2">
      <c r="A63" s="73"/>
      <c r="B63" s="48"/>
      <c r="C63" s="48"/>
      <c r="D63" s="48"/>
      <c r="E63" s="48"/>
      <c r="F63" s="48"/>
      <c r="G63" s="48"/>
      <c r="H63" s="48"/>
      <c r="I63" s="48"/>
      <c r="J63" s="48"/>
      <c r="K63" s="48"/>
      <c r="L63" s="48"/>
      <c r="M63" s="48"/>
      <c r="N63" s="48"/>
      <c r="O63" s="48"/>
      <c r="P63" s="48"/>
      <c r="Q63" s="48"/>
    </row>
    <row r="64" spans="1:17" x14ac:dyDescent="0.2">
      <c r="A64" s="75"/>
      <c r="B64" s="75"/>
      <c r="C64" s="45"/>
      <c r="D64" s="45"/>
      <c r="E64" s="45"/>
      <c r="F64" s="45"/>
      <c r="G64" s="45"/>
      <c r="H64" s="45"/>
      <c r="I64" s="45"/>
      <c r="J64" s="45"/>
      <c r="K64" s="45"/>
      <c r="L64" s="45"/>
      <c r="M64" s="45"/>
      <c r="N64" s="45"/>
      <c r="O64" s="45"/>
      <c r="P64" s="45"/>
      <c r="Q64" s="48"/>
    </row>
    <row r="65" spans="1:17" ht="6.75" customHeight="1" x14ac:dyDescent="0.2">
      <c r="A65" s="48"/>
      <c r="B65" s="48"/>
      <c r="C65" s="48"/>
      <c r="D65" s="48"/>
      <c r="E65" s="48"/>
      <c r="F65" s="48"/>
      <c r="G65" s="48"/>
      <c r="H65" s="48"/>
      <c r="I65" s="48"/>
      <c r="J65" s="48"/>
      <c r="K65" s="48"/>
      <c r="L65" s="48"/>
      <c r="M65" s="48"/>
      <c r="N65" s="48"/>
      <c r="O65" s="48"/>
      <c r="P65" s="48"/>
      <c r="Q65" s="48"/>
    </row>
    <row r="66" spans="1:17" x14ac:dyDescent="0.2">
      <c r="A66" s="70"/>
      <c r="B66" s="70"/>
      <c r="C66" s="70"/>
      <c r="D66" s="48"/>
      <c r="E66" s="48"/>
      <c r="F66" s="48"/>
      <c r="G66" s="48"/>
      <c r="H66" s="48"/>
      <c r="I66" s="48"/>
      <c r="J66" s="48"/>
      <c r="K66" s="48"/>
      <c r="L66" s="48"/>
      <c r="M66" s="48"/>
      <c r="N66" s="48"/>
      <c r="O66" s="48"/>
      <c r="P66" s="48"/>
      <c r="Q66" s="48"/>
    </row>
    <row r="67" spans="1:17" x14ac:dyDescent="0.2">
      <c r="A67" s="48"/>
      <c r="B67" s="48"/>
      <c r="C67" s="48"/>
      <c r="D67" s="48"/>
      <c r="E67" s="48"/>
      <c r="F67" s="48"/>
      <c r="G67" s="48"/>
      <c r="H67" s="48"/>
      <c r="I67" s="48"/>
      <c r="J67" s="48"/>
      <c r="K67" s="48"/>
      <c r="L67" s="48"/>
      <c r="M67" s="48"/>
      <c r="N67" s="48"/>
      <c r="O67" s="48"/>
      <c r="P67" s="48"/>
      <c r="Q67" s="48"/>
    </row>
    <row r="68" spans="1:17" x14ac:dyDescent="0.2">
      <c r="A68" s="68"/>
      <c r="B68" s="68"/>
      <c r="C68" s="68"/>
      <c r="D68" s="68"/>
      <c r="E68" s="68"/>
      <c r="F68" s="68"/>
      <c r="G68" s="68"/>
      <c r="H68" s="68"/>
      <c r="I68" s="68"/>
      <c r="J68" s="68"/>
      <c r="K68" s="68"/>
      <c r="L68" s="68"/>
      <c r="M68" s="68"/>
      <c r="N68" s="68"/>
      <c r="O68" s="68"/>
      <c r="P68" s="68"/>
      <c r="Q68" s="48"/>
    </row>
    <row r="69" spans="1:17" x14ac:dyDescent="0.2">
      <c r="A69" s="68"/>
      <c r="B69" s="68"/>
      <c r="C69" s="68"/>
      <c r="D69" s="68"/>
      <c r="E69" s="68"/>
      <c r="F69" s="68"/>
      <c r="G69" s="68"/>
      <c r="H69" s="68"/>
      <c r="I69" s="68"/>
      <c r="J69" s="68"/>
      <c r="K69" s="68"/>
      <c r="L69" s="68"/>
      <c r="M69" s="68"/>
      <c r="N69" s="68"/>
      <c r="O69" s="68"/>
      <c r="P69" s="68"/>
      <c r="Q69" s="48"/>
    </row>
    <row r="70" spans="1:17" x14ac:dyDescent="0.2">
      <c r="A70" s="68"/>
      <c r="B70" s="68"/>
      <c r="C70" s="48"/>
      <c r="D70" s="48"/>
      <c r="E70" s="48"/>
      <c r="F70" s="71"/>
      <c r="G70" s="68"/>
      <c r="H70" s="68"/>
      <c r="I70" s="68"/>
      <c r="J70" s="68"/>
      <c r="K70" s="68"/>
      <c r="L70" s="68"/>
      <c r="M70" s="68"/>
      <c r="N70" s="68"/>
      <c r="O70" s="68"/>
      <c r="P70" s="68"/>
      <c r="Q70" s="48"/>
    </row>
    <row r="71" spans="1:17" x14ac:dyDescent="0.2">
      <c r="A71" s="72"/>
      <c r="B71" s="48"/>
      <c r="C71" s="48"/>
      <c r="D71" s="48"/>
      <c r="E71" s="48"/>
      <c r="F71" s="48"/>
      <c r="G71" s="48"/>
      <c r="H71" s="48"/>
      <c r="I71" s="48"/>
      <c r="J71" s="48"/>
      <c r="K71" s="48"/>
      <c r="L71" s="48"/>
      <c r="M71" s="48"/>
      <c r="N71" s="48"/>
      <c r="O71" s="48"/>
      <c r="P71" s="48"/>
      <c r="Q71" s="48"/>
    </row>
    <row r="72" spans="1:17" x14ac:dyDescent="0.2">
      <c r="A72" s="73"/>
      <c r="B72" s="74"/>
      <c r="C72" s="48"/>
      <c r="D72" s="48"/>
      <c r="E72" s="48"/>
      <c r="F72" s="48"/>
      <c r="G72" s="48"/>
      <c r="H72" s="48"/>
      <c r="I72" s="48"/>
      <c r="J72" s="48"/>
      <c r="K72" s="48"/>
      <c r="L72" s="48"/>
      <c r="M72" s="48"/>
      <c r="N72" s="48"/>
      <c r="O72" s="48"/>
      <c r="P72" s="48"/>
      <c r="Q72" s="48"/>
    </row>
    <row r="73" spans="1:17" x14ac:dyDescent="0.2">
      <c r="A73" s="73"/>
      <c r="B73" s="74"/>
      <c r="C73" s="48"/>
      <c r="D73" s="48"/>
      <c r="E73" s="48"/>
      <c r="F73" s="48"/>
      <c r="G73" s="48"/>
      <c r="H73" s="48"/>
      <c r="I73" s="48"/>
      <c r="J73" s="48"/>
      <c r="K73" s="48"/>
      <c r="L73" s="48"/>
      <c r="M73" s="48"/>
      <c r="N73" s="48"/>
      <c r="O73" s="48"/>
      <c r="P73" s="48"/>
      <c r="Q73" s="48"/>
    </row>
    <row r="74" spans="1:17" x14ac:dyDescent="0.2">
      <c r="A74" s="72"/>
      <c r="B74" s="48"/>
      <c r="C74" s="48"/>
      <c r="D74" s="48"/>
      <c r="E74" s="48"/>
      <c r="F74" s="48"/>
      <c r="G74" s="48"/>
      <c r="H74" s="48"/>
      <c r="I74" s="48"/>
      <c r="J74" s="48"/>
      <c r="K74" s="48"/>
      <c r="L74" s="48"/>
      <c r="M74" s="48"/>
      <c r="N74" s="48"/>
      <c r="O74" s="48"/>
      <c r="P74" s="48"/>
      <c r="Q74" s="48"/>
    </row>
    <row r="75" spans="1:17" x14ac:dyDescent="0.2">
      <c r="A75" s="72"/>
      <c r="B75" s="48"/>
      <c r="C75" s="48"/>
      <c r="D75" s="48"/>
      <c r="E75" s="48"/>
      <c r="F75" s="48"/>
      <c r="G75" s="48"/>
      <c r="H75" s="48"/>
      <c r="I75" s="48"/>
      <c r="J75" s="48"/>
      <c r="K75" s="48"/>
      <c r="L75" s="48"/>
      <c r="M75" s="48"/>
      <c r="N75" s="48"/>
      <c r="O75" s="48"/>
      <c r="P75" s="48"/>
      <c r="Q75" s="48"/>
    </row>
    <row r="76" spans="1:17" x14ac:dyDescent="0.2">
      <c r="A76" s="73"/>
      <c r="B76" s="74"/>
      <c r="C76" s="48"/>
      <c r="D76" s="48"/>
      <c r="E76" s="48"/>
      <c r="F76" s="48"/>
      <c r="G76" s="48"/>
      <c r="H76" s="48"/>
      <c r="I76" s="48"/>
      <c r="J76" s="48"/>
      <c r="K76" s="48"/>
      <c r="L76" s="48"/>
      <c r="M76" s="48"/>
      <c r="N76" s="48"/>
      <c r="O76" s="48"/>
      <c r="P76" s="48"/>
      <c r="Q76" s="48"/>
    </row>
    <row r="77" spans="1:17" x14ac:dyDescent="0.2">
      <c r="A77" s="73"/>
      <c r="B77" s="74"/>
      <c r="C77" s="48"/>
      <c r="D77" s="48"/>
      <c r="E77" s="48"/>
      <c r="F77" s="48"/>
      <c r="G77" s="48"/>
      <c r="H77" s="48"/>
      <c r="I77" s="48"/>
      <c r="J77" s="48"/>
      <c r="K77" s="48"/>
      <c r="L77" s="48"/>
      <c r="M77" s="48"/>
      <c r="N77" s="48"/>
      <c r="O77" s="48"/>
      <c r="P77" s="48"/>
      <c r="Q77" s="48"/>
    </row>
    <row r="78" spans="1:17" x14ac:dyDescent="0.2">
      <c r="A78" s="72"/>
      <c r="B78" s="48"/>
      <c r="C78" s="48"/>
      <c r="D78" s="48"/>
      <c r="E78" s="48"/>
      <c r="F78" s="48"/>
      <c r="G78" s="48"/>
      <c r="H78" s="48"/>
      <c r="I78" s="48"/>
      <c r="J78" s="48"/>
      <c r="K78" s="48"/>
      <c r="L78" s="48"/>
      <c r="M78" s="48"/>
      <c r="N78" s="48"/>
      <c r="O78" s="48"/>
      <c r="P78" s="48"/>
      <c r="Q78" s="48"/>
    </row>
    <row r="79" spans="1:17" x14ac:dyDescent="0.2">
      <c r="A79" s="72"/>
      <c r="B79" s="48"/>
      <c r="C79" s="48"/>
      <c r="D79" s="48"/>
      <c r="E79" s="48"/>
      <c r="F79" s="48"/>
      <c r="G79" s="48"/>
      <c r="H79" s="48"/>
      <c r="I79" s="48"/>
      <c r="J79" s="48"/>
      <c r="K79" s="48"/>
      <c r="L79" s="48"/>
      <c r="M79" s="48"/>
      <c r="N79" s="48"/>
      <c r="O79" s="48"/>
      <c r="P79" s="48"/>
      <c r="Q79" s="48"/>
    </row>
    <row r="80" spans="1:17" x14ac:dyDescent="0.2">
      <c r="A80" s="73"/>
      <c r="B80" s="48"/>
      <c r="C80" s="48"/>
      <c r="D80" s="48"/>
      <c r="E80" s="48"/>
      <c r="F80" s="48"/>
      <c r="G80" s="48"/>
      <c r="H80" s="48"/>
      <c r="I80" s="48"/>
      <c r="J80" s="48"/>
      <c r="K80" s="48"/>
      <c r="L80" s="48"/>
      <c r="M80" s="48"/>
      <c r="N80" s="48"/>
      <c r="O80" s="48"/>
      <c r="P80" s="48"/>
      <c r="Q80" s="48"/>
    </row>
    <row r="81" spans="1:17" x14ac:dyDescent="0.2">
      <c r="A81" s="73"/>
      <c r="B81" s="48"/>
      <c r="C81" s="48"/>
      <c r="D81" s="48"/>
      <c r="E81" s="48"/>
      <c r="F81" s="48"/>
      <c r="G81" s="48"/>
      <c r="H81" s="48"/>
      <c r="I81" s="48"/>
      <c r="J81" s="48"/>
      <c r="K81" s="48"/>
      <c r="L81" s="48"/>
      <c r="M81" s="48"/>
      <c r="N81" s="48"/>
      <c r="O81" s="48"/>
      <c r="P81" s="48"/>
      <c r="Q81" s="48"/>
    </row>
    <row r="82" spans="1:17" x14ac:dyDescent="0.2">
      <c r="A82" s="72"/>
      <c r="B82" s="48"/>
      <c r="C82" s="48"/>
      <c r="D82" s="48"/>
      <c r="E82" s="48"/>
      <c r="F82" s="48"/>
      <c r="G82" s="48"/>
      <c r="H82" s="48"/>
      <c r="I82" s="48"/>
      <c r="J82" s="48"/>
      <c r="K82" s="48"/>
      <c r="L82" s="48"/>
      <c r="M82" s="48"/>
      <c r="N82" s="48"/>
      <c r="O82" s="48"/>
      <c r="P82" s="48"/>
      <c r="Q82" s="48"/>
    </row>
    <row r="83" spans="1:17" x14ac:dyDescent="0.2">
      <c r="A83" s="72"/>
      <c r="B83" s="48"/>
      <c r="C83" s="48"/>
      <c r="D83" s="48"/>
      <c r="E83" s="48"/>
      <c r="F83" s="48"/>
      <c r="G83" s="48"/>
      <c r="H83" s="48"/>
      <c r="I83" s="48"/>
      <c r="J83" s="48"/>
      <c r="K83" s="48"/>
      <c r="L83" s="48"/>
      <c r="M83" s="48"/>
      <c r="N83" s="48"/>
      <c r="O83" s="48"/>
      <c r="P83" s="48"/>
      <c r="Q83" s="48"/>
    </row>
    <row r="84" spans="1:17" x14ac:dyDescent="0.2">
      <c r="A84" s="73"/>
      <c r="B84" s="48"/>
      <c r="C84" s="48"/>
      <c r="D84" s="48"/>
      <c r="E84" s="48"/>
      <c r="F84" s="48"/>
      <c r="G84" s="48"/>
      <c r="H84" s="48"/>
      <c r="I84" s="48"/>
      <c r="J84" s="48"/>
      <c r="K84" s="48"/>
      <c r="L84" s="48"/>
      <c r="M84" s="48"/>
      <c r="N84" s="48"/>
      <c r="O84" s="48"/>
      <c r="P84" s="48"/>
      <c r="Q84" s="48"/>
    </row>
    <row r="85" spans="1:17" x14ac:dyDescent="0.2">
      <c r="A85" s="73"/>
      <c r="B85" s="48"/>
      <c r="C85" s="48"/>
      <c r="D85" s="48"/>
      <c r="E85" s="48"/>
      <c r="F85" s="48"/>
      <c r="G85" s="48"/>
      <c r="H85" s="48"/>
      <c r="I85" s="48"/>
      <c r="J85" s="48"/>
      <c r="K85" s="48"/>
      <c r="L85" s="48"/>
      <c r="M85" s="48"/>
      <c r="N85" s="48"/>
      <c r="O85" s="48"/>
      <c r="P85" s="48"/>
      <c r="Q85" s="48"/>
    </row>
    <row r="86" spans="1:17" x14ac:dyDescent="0.2">
      <c r="A86" s="75"/>
      <c r="B86" s="75"/>
      <c r="C86" s="45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5"/>
      <c r="O86" s="45"/>
      <c r="P86" s="45"/>
      <c r="Q86" s="48"/>
    </row>
    <row r="87" spans="1:17" x14ac:dyDescent="0.2">
      <c r="A87" s="48"/>
      <c r="B87" s="48"/>
      <c r="C87" s="48"/>
      <c r="D87" s="48"/>
      <c r="E87" s="48"/>
      <c r="F87" s="48"/>
      <c r="G87" s="48"/>
      <c r="H87" s="48"/>
      <c r="I87" s="48"/>
      <c r="J87" s="48"/>
      <c r="K87" s="48"/>
      <c r="L87" s="48"/>
      <c r="M87" s="48"/>
      <c r="N87" s="48"/>
      <c r="O87" s="48"/>
      <c r="P87" s="48"/>
      <c r="Q87" s="48"/>
    </row>
    <row r="88" spans="1:17" x14ac:dyDescent="0.2">
      <c r="A88" s="70"/>
      <c r="B88" s="70"/>
      <c r="C88" s="70"/>
      <c r="D88" s="48"/>
      <c r="E88" s="48"/>
      <c r="F88" s="48"/>
      <c r="G88" s="48"/>
      <c r="H88" s="48"/>
      <c r="I88" s="48"/>
      <c r="J88" s="48"/>
      <c r="K88" s="48"/>
      <c r="L88" s="48"/>
      <c r="M88" s="48"/>
      <c r="N88" s="48"/>
      <c r="O88" s="48"/>
      <c r="P88" s="48"/>
      <c r="Q88" s="48"/>
    </row>
    <row r="89" spans="1:17" x14ac:dyDescent="0.2">
      <c r="A89" s="48"/>
      <c r="B89" s="48"/>
      <c r="C89" s="48"/>
      <c r="D89" s="48"/>
      <c r="E89" s="48"/>
      <c r="F89" s="48"/>
      <c r="G89" s="48"/>
      <c r="H89" s="48"/>
      <c r="I89" s="48"/>
      <c r="J89" s="48"/>
      <c r="K89" s="48"/>
      <c r="L89" s="48"/>
      <c r="M89" s="48"/>
      <c r="N89" s="48"/>
      <c r="O89" s="48"/>
      <c r="P89" s="48"/>
      <c r="Q89" s="48"/>
    </row>
    <row r="90" spans="1:17" x14ac:dyDescent="0.2">
      <c r="A90" s="48"/>
      <c r="B90" s="48"/>
      <c r="C90" s="48"/>
      <c r="D90" s="48"/>
      <c r="E90" s="48"/>
      <c r="F90" s="48"/>
      <c r="G90" s="48"/>
      <c r="H90" s="48"/>
      <c r="I90" s="48"/>
      <c r="J90" s="48"/>
      <c r="K90" s="48"/>
      <c r="L90" s="48"/>
      <c r="M90" s="48"/>
      <c r="N90" s="48"/>
      <c r="O90" s="48"/>
      <c r="P90" s="48"/>
      <c r="Q90" s="48"/>
    </row>
    <row r="91" spans="1:17" x14ac:dyDescent="0.2">
      <c r="A91" s="48"/>
      <c r="B91" s="48"/>
      <c r="C91" s="48"/>
      <c r="D91" s="48"/>
      <c r="E91" s="48"/>
      <c r="F91" s="48"/>
      <c r="G91" s="48"/>
      <c r="H91" s="48"/>
      <c r="I91" s="48"/>
      <c r="J91" s="48"/>
      <c r="K91" s="48"/>
      <c r="L91" s="48"/>
      <c r="M91" s="48"/>
      <c r="N91" s="48"/>
      <c r="O91" s="48"/>
      <c r="P91" s="48"/>
      <c r="Q91" s="48"/>
    </row>
    <row r="92" spans="1:17" x14ac:dyDescent="0.2">
      <c r="A92" s="68"/>
      <c r="B92" s="68"/>
      <c r="C92" s="68"/>
      <c r="D92" s="68"/>
      <c r="E92" s="68"/>
      <c r="F92" s="68"/>
      <c r="G92" s="68"/>
      <c r="H92" s="68"/>
      <c r="I92" s="68"/>
      <c r="J92" s="68"/>
      <c r="K92" s="68"/>
      <c r="L92" s="68"/>
      <c r="M92" s="68"/>
      <c r="N92" s="68"/>
      <c r="O92" s="68"/>
      <c r="P92" s="68"/>
      <c r="Q92" s="48"/>
    </row>
    <row r="93" spans="1:17" x14ac:dyDescent="0.2">
      <c r="A93" s="68"/>
      <c r="B93" s="68"/>
      <c r="C93" s="68"/>
      <c r="D93" s="68"/>
      <c r="E93" s="68"/>
      <c r="F93" s="68"/>
      <c r="G93" s="68"/>
      <c r="H93" s="68"/>
      <c r="I93" s="68"/>
      <c r="J93" s="68"/>
      <c r="K93" s="68"/>
      <c r="L93" s="68"/>
      <c r="M93" s="68"/>
      <c r="N93" s="68"/>
      <c r="O93" s="68"/>
      <c r="P93" s="68"/>
      <c r="Q93" s="48"/>
    </row>
    <row r="94" spans="1:17" x14ac:dyDescent="0.2">
      <c r="A94" s="68"/>
      <c r="B94" s="68"/>
      <c r="C94" s="68"/>
      <c r="D94" s="68"/>
      <c r="E94" s="68"/>
      <c r="F94" s="68"/>
      <c r="G94" s="68"/>
      <c r="H94" s="68"/>
      <c r="I94" s="68"/>
      <c r="J94" s="68"/>
      <c r="K94" s="68"/>
      <c r="L94" s="68"/>
      <c r="M94" s="68"/>
      <c r="N94" s="68"/>
      <c r="O94" s="68"/>
      <c r="P94" s="68"/>
      <c r="Q94" s="48"/>
    </row>
    <row r="95" spans="1:17" x14ac:dyDescent="0.2">
      <c r="A95" s="72"/>
      <c r="B95" s="48"/>
      <c r="C95" s="48"/>
      <c r="D95" s="48"/>
      <c r="E95" s="48"/>
      <c r="F95" s="48"/>
      <c r="G95" s="48"/>
      <c r="H95" s="48"/>
      <c r="I95" s="48"/>
      <c r="J95" s="48"/>
      <c r="K95" s="48"/>
      <c r="L95" s="48"/>
      <c r="M95" s="48"/>
      <c r="N95" s="48"/>
      <c r="O95" s="48"/>
      <c r="P95" s="48"/>
      <c r="Q95" s="48"/>
    </row>
    <row r="96" spans="1:17" x14ac:dyDescent="0.2">
      <c r="A96" s="73"/>
      <c r="B96" s="74"/>
      <c r="C96" s="48"/>
      <c r="D96" s="48"/>
      <c r="E96" s="48"/>
      <c r="F96" s="48"/>
      <c r="G96" s="48"/>
      <c r="H96" s="48"/>
      <c r="I96" s="48"/>
      <c r="J96" s="48"/>
      <c r="K96" s="48"/>
      <c r="L96" s="48"/>
      <c r="M96" s="48"/>
      <c r="N96" s="48"/>
      <c r="O96" s="48"/>
      <c r="P96" s="48"/>
      <c r="Q96" s="48"/>
    </row>
    <row r="97" spans="1:17" x14ac:dyDescent="0.2">
      <c r="A97" s="73"/>
      <c r="B97" s="74"/>
      <c r="C97" s="48"/>
      <c r="D97" s="48"/>
      <c r="E97" s="48"/>
      <c r="F97" s="48"/>
      <c r="G97" s="48"/>
      <c r="H97" s="48"/>
      <c r="I97" s="48"/>
      <c r="J97" s="48"/>
      <c r="K97" s="48"/>
      <c r="L97" s="48"/>
      <c r="M97" s="48"/>
      <c r="N97" s="48"/>
      <c r="O97" s="48"/>
      <c r="P97" s="48"/>
      <c r="Q97" s="48"/>
    </row>
    <row r="98" spans="1:17" x14ac:dyDescent="0.2">
      <c r="A98" s="72"/>
      <c r="B98" s="48"/>
      <c r="C98" s="48"/>
      <c r="D98" s="48"/>
      <c r="E98" s="48"/>
      <c r="F98" s="48"/>
      <c r="G98" s="48"/>
      <c r="H98" s="48"/>
      <c r="I98" s="48"/>
      <c r="J98" s="48"/>
      <c r="K98" s="48"/>
      <c r="L98" s="48"/>
      <c r="M98" s="48"/>
      <c r="N98" s="48"/>
      <c r="O98" s="48"/>
      <c r="P98" s="48"/>
      <c r="Q98" s="48"/>
    </row>
    <row r="99" spans="1:17" x14ac:dyDescent="0.2">
      <c r="A99" s="72"/>
      <c r="B99" s="48"/>
      <c r="C99" s="48"/>
      <c r="D99" s="48"/>
      <c r="E99" s="48"/>
      <c r="F99" s="48"/>
      <c r="G99" s="48"/>
      <c r="H99" s="48"/>
      <c r="I99" s="48"/>
      <c r="J99" s="48"/>
      <c r="K99" s="48"/>
      <c r="L99" s="48"/>
      <c r="M99" s="48"/>
      <c r="N99" s="48"/>
      <c r="O99" s="48"/>
      <c r="P99" s="48"/>
      <c r="Q99" s="48"/>
    </row>
    <row r="100" spans="1:17" x14ac:dyDescent="0.2">
      <c r="A100" s="73"/>
      <c r="B100" s="74"/>
      <c r="C100" s="48"/>
      <c r="D100" s="48"/>
      <c r="E100" s="48"/>
      <c r="F100" s="48"/>
      <c r="G100" s="48"/>
      <c r="H100" s="48"/>
      <c r="I100" s="48"/>
      <c r="J100" s="48"/>
      <c r="K100" s="48"/>
      <c r="L100" s="48"/>
      <c r="M100" s="48"/>
      <c r="N100" s="48"/>
      <c r="O100" s="48"/>
      <c r="P100" s="48"/>
      <c r="Q100" s="48"/>
    </row>
    <row r="101" spans="1:17" x14ac:dyDescent="0.2">
      <c r="A101" s="73"/>
      <c r="B101" s="74"/>
      <c r="C101" s="48"/>
      <c r="D101" s="48"/>
      <c r="E101" s="48"/>
      <c r="F101" s="48"/>
      <c r="G101" s="48"/>
      <c r="H101" s="48"/>
      <c r="I101" s="48"/>
      <c r="J101" s="48"/>
      <c r="K101" s="48"/>
      <c r="L101" s="48"/>
      <c r="M101" s="48"/>
      <c r="N101" s="48"/>
      <c r="O101" s="48"/>
      <c r="P101" s="48"/>
      <c r="Q101" s="48"/>
    </row>
    <row r="102" spans="1:17" x14ac:dyDescent="0.2">
      <c r="A102" s="72"/>
      <c r="B102" s="48"/>
      <c r="C102" s="48"/>
      <c r="D102" s="48"/>
      <c r="E102" s="48"/>
      <c r="F102" s="48"/>
      <c r="G102" s="48"/>
      <c r="H102" s="48"/>
      <c r="I102" s="48"/>
      <c r="J102" s="48"/>
      <c r="K102" s="48"/>
      <c r="L102" s="48"/>
      <c r="M102" s="48"/>
      <c r="N102" s="48"/>
      <c r="O102" s="48"/>
      <c r="P102" s="48"/>
      <c r="Q102" s="48"/>
    </row>
    <row r="103" spans="1:17" x14ac:dyDescent="0.2">
      <c r="A103" s="72"/>
      <c r="B103" s="48"/>
      <c r="C103" s="48"/>
      <c r="D103" s="48"/>
      <c r="E103" s="48"/>
      <c r="F103" s="48"/>
      <c r="G103" s="48"/>
      <c r="H103" s="48"/>
      <c r="I103" s="48"/>
      <c r="J103" s="48"/>
      <c r="K103" s="48"/>
      <c r="L103" s="48"/>
      <c r="M103" s="48"/>
      <c r="N103" s="48"/>
      <c r="O103" s="48"/>
      <c r="P103" s="48"/>
      <c r="Q103" s="48"/>
    </row>
    <row r="104" spans="1:17" x14ac:dyDescent="0.2">
      <c r="A104" s="73"/>
      <c r="B104" s="48"/>
      <c r="C104" s="48"/>
      <c r="D104" s="48"/>
      <c r="E104" s="48"/>
      <c r="F104" s="48"/>
      <c r="G104" s="48"/>
      <c r="H104" s="48"/>
      <c r="I104" s="48"/>
      <c r="J104" s="48"/>
      <c r="K104" s="48"/>
      <c r="L104" s="48"/>
      <c r="M104" s="48"/>
      <c r="N104" s="48"/>
      <c r="O104" s="48"/>
      <c r="P104" s="48"/>
      <c r="Q104" s="48"/>
    </row>
    <row r="105" spans="1:17" x14ac:dyDescent="0.2">
      <c r="A105" s="73"/>
      <c r="B105" s="48"/>
      <c r="C105" s="48"/>
      <c r="D105" s="48"/>
      <c r="E105" s="48"/>
      <c r="F105" s="48"/>
      <c r="G105" s="48"/>
      <c r="H105" s="48"/>
      <c r="I105" s="48"/>
      <c r="J105" s="48"/>
      <c r="K105" s="48"/>
      <c r="L105" s="48"/>
      <c r="M105" s="48"/>
      <c r="N105" s="48"/>
      <c r="O105" s="48"/>
      <c r="P105" s="48"/>
      <c r="Q105" s="48"/>
    </row>
    <row r="106" spans="1:17" x14ac:dyDescent="0.2">
      <c r="A106" s="72"/>
      <c r="B106" s="48"/>
      <c r="C106" s="48"/>
      <c r="D106" s="48"/>
      <c r="E106" s="48"/>
      <c r="F106" s="48"/>
      <c r="G106" s="48"/>
      <c r="H106" s="48"/>
      <c r="I106" s="48"/>
      <c r="J106" s="48"/>
      <c r="K106" s="48"/>
      <c r="L106" s="48"/>
      <c r="M106" s="48"/>
      <c r="N106" s="48"/>
      <c r="O106" s="48"/>
      <c r="P106" s="48"/>
      <c r="Q106" s="48"/>
    </row>
    <row r="107" spans="1:17" x14ac:dyDescent="0.2">
      <c r="A107" s="72"/>
      <c r="B107" s="48"/>
      <c r="C107" s="48"/>
      <c r="D107" s="48"/>
      <c r="E107" s="48"/>
      <c r="F107" s="48"/>
      <c r="G107" s="48"/>
      <c r="H107" s="48"/>
      <c r="I107" s="48"/>
      <c r="J107" s="48"/>
      <c r="K107" s="48"/>
      <c r="L107" s="48"/>
      <c r="M107" s="48"/>
      <c r="N107" s="48"/>
      <c r="O107" s="48"/>
      <c r="P107" s="48"/>
      <c r="Q107" s="48"/>
    </row>
    <row r="108" spans="1:17" x14ac:dyDescent="0.2">
      <c r="A108" s="73"/>
      <c r="B108" s="48"/>
      <c r="C108" s="48"/>
      <c r="D108" s="48"/>
      <c r="E108" s="48"/>
      <c r="F108" s="48"/>
      <c r="G108" s="48"/>
      <c r="H108" s="48"/>
      <c r="I108" s="48"/>
      <c r="J108" s="48"/>
      <c r="K108" s="48"/>
      <c r="L108" s="48"/>
      <c r="M108" s="48"/>
      <c r="N108" s="48"/>
      <c r="O108" s="48"/>
      <c r="P108" s="48"/>
      <c r="Q108" s="48"/>
    </row>
    <row r="109" spans="1:17" x14ac:dyDescent="0.2">
      <c r="A109" s="73"/>
      <c r="B109" s="48"/>
      <c r="C109" s="48"/>
      <c r="D109" s="48"/>
      <c r="E109" s="48"/>
      <c r="F109" s="48"/>
      <c r="G109" s="48"/>
      <c r="H109" s="48"/>
      <c r="I109" s="48"/>
      <c r="J109" s="48"/>
      <c r="K109" s="48"/>
      <c r="L109" s="48"/>
      <c r="M109" s="48"/>
      <c r="N109" s="48"/>
      <c r="O109" s="48"/>
      <c r="P109" s="48"/>
      <c r="Q109" s="48"/>
    </row>
    <row r="110" spans="1:17" x14ac:dyDescent="0.2">
      <c r="A110" s="75"/>
      <c r="B110" s="75"/>
      <c r="C110" s="45"/>
      <c r="D110" s="45"/>
      <c r="E110" s="45"/>
      <c r="F110" s="45"/>
      <c r="G110" s="45"/>
      <c r="H110" s="45"/>
      <c r="I110" s="45"/>
      <c r="J110" s="45"/>
      <c r="K110" s="45"/>
      <c r="L110" s="45"/>
      <c r="M110" s="45"/>
      <c r="N110" s="45"/>
      <c r="O110" s="45"/>
      <c r="P110" s="45"/>
      <c r="Q110" s="48"/>
    </row>
    <row r="111" spans="1:17" x14ac:dyDescent="0.2">
      <c r="A111" s="48"/>
      <c r="B111" s="48"/>
      <c r="C111" s="48"/>
      <c r="D111" s="48"/>
      <c r="E111" s="48"/>
      <c r="F111" s="48"/>
      <c r="G111" s="48"/>
      <c r="H111" s="48"/>
      <c r="I111" s="48"/>
      <c r="J111" s="48"/>
      <c r="K111" s="48"/>
      <c r="L111" s="48"/>
      <c r="M111" s="48"/>
      <c r="N111" s="48"/>
      <c r="O111" s="48"/>
      <c r="P111" s="48"/>
      <c r="Q111" s="48"/>
    </row>
    <row r="112" spans="1:17" x14ac:dyDescent="0.2">
      <c r="A112" s="70"/>
      <c r="B112" s="70"/>
      <c r="C112" s="70"/>
      <c r="D112" s="48"/>
      <c r="E112" s="48"/>
      <c r="F112" s="48"/>
      <c r="G112" s="48"/>
      <c r="H112" s="48"/>
      <c r="I112" s="48"/>
      <c r="J112" s="48"/>
      <c r="K112" s="48"/>
      <c r="L112" s="48"/>
      <c r="M112" s="48"/>
      <c r="N112" s="48"/>
      <c r="O112" s="48"/>
      <c r="P112" s="48"/>
      <c r="Q112" s="48"/>
    </row>
    <row r="113" spans="1:17" x14ac:dyDescent="0.2">
      <c r="A113" s="48"/>
      <c r="B113" s="48"/>
      <c r="C113" s="48"/>
      <c r="D113" s="48"/>
      <c r="E113" s="48"/>
      <c r="F113" s="48"/>
      <c r="G113" s="48"/>
      <c r="H113" s="48"/>
      <c r="I113" s="48"/>
      <c r="J113" s="48"/>
      <c r="K113" s="48"/>
      <c r="L113" s="48"/>
      <c r="M113" s="48"/>
      <c r="N113" s="48"/>
      <c r="O113" s="48"/>
      <c r="P113" s="48"/>
      <c r="Q113" s="48"/>
    </row>
    <row r="114" spans="1:17" x14ac:dyDescent="0.2">
      <c r="A114" s="68"/>
      <c r="B114" s="68"/>
      <c r="C114" s="68"/>
      <c r="D114" s="68"/>
      <c r="E114" s="68"/>
      <c r="F114" s="68"/>
      <c r="G114" s="68"/>
      <c r="H114" s="68"/>
      <c r="I114" s="68"/>
      <c r="J114" s="68"/>
      <c r="K114" s="68"/>
      <c r="L114" s="68"/>
      <c r="M114" s="68"/>
      <c r="N114" s="68"/>
      <c r="O114" s="68"/>
      <c r="P114" s="68"/>
      <c r="Q114" s="48"/>
    </row>
    <row r="115" spans="1:17" x14ac:dyDescent="0.2">
      <c r="A115" s="68"/>
      <c r="B115" s="68"/>
      <c r="C115" s="68"/>
      <c r="D115" s="68"/>
      <c r="E115" s="68"/>
      <c r="F115" s="68"/>
      <c r="G115" s="68"/>
      <c r="H115" s="68"/>
      <c r="I115" s="68"/>
      <c r="J115" s="68"/>
      <c r="K115" s="68"/>
      <c r="L115" s="68"/>
      <c r="M115" s="68"/>
      <c r="N115" s="68"/>
      <c r="O115" s="68"/>
      <c r="P115" s="68"/>
      <c r="Q115" s="48"/>
    </row>
    <row r="116" spans="1:17" x14ac:dyDescent="0.2">
      <c r="A116" s="68"/>
      <c r="B116" s="68"/>
      <c r="C116" s="48"/>
      <c r="D116" s="48"/>
      <c r="E116" s="48"/>
      <c r="F116" s="71"/>
      <c r="G116" s="68"/>
      <c r="H116" s="68"/>
      <c r="I116" s="68"/>
      <c r="J116" s="68"/>
      <c r="K116" s="68"/>
      <c r="L116" s="68"/>
      <c r="M116" s="68"/>
      <c r="N116" s="68"/>
      <c r="O116" s="68"/>
      <c r="P116" s="68"/>
      <c r="Q116" s="48"/>
    </row>
    <row r="117" spans="1:17" x14ac:dyDescent="0.2">
      <c r="A117" s="72"/>
      <c r="B117" s="48"/>
      <c r="C117" s="48"/>
      <c r="D117" s="48"/>
      <c r="E117" s="48"/>
      <c r="F117" s="76"/>
      <c r="G117" s="48"/>
      <c r="H117" s="48"/>
      <c r="I117" s="48"/>
      <c r="J117" s="48"/>
      <c r="K117" s="48"/>
      <c r="L117" s="48"/>
      <c r="M117" s="48"/>
      <c r="N117" s="48"/>
      <c r="O117" s="48"/>
      <c r="P117" s="48"/>
      <c r="Q117" s="48"/>
    </row>
    <row r="118" spans="1:17" x14ac:dyDescent="0.2">
      <c r="A118" s="73"/>
      <c r="B118" s="74"/>
      <c r="C118" s="48"/>
      <c r="D118" s="48"/>
      <c r="E118" s="48"/>
      <c r="F118" s="76"/>
      <c r="G118" s="48"/>
      <c r="H118" s="48"/>
      <c r="I118" s="48"/>
      <c r="J118" s="48"/>
      <c r="K118" s="48"/>
      <c r="L118" s="48"/>
      <c r="M118" s="48"/>
      <c r="N118" s="48"/>
      <c r="O118" s="48"/>
      <c r="P118" s="48"/>
      <c r="Q118" s="48"/>
    </row>
    <row r="119" spans="1:17" x14ac:dyDescent="0.2">
      <c r="A119" s="73"/>
      <c r="B119" s="74"/>
      <c r="C119" s="48"/>
      <c r="D119" s="48"/>
      <c r="E119" s="48"/>
      <c r="F119" s="76"/>
      <c r="G119" s="48"/>
      <c r="H119" s="48"/>
      <c r="I119" s="48"/>
      <c r="J119" s="48"/>
      <c r="K119" s="48"/>
      <c r="L119" s="48"/>
      <c r="M119" s="48"/>
      <c r="N119" s="48"/>
      <c r="O119" s="48"/>
      <c r="P119" s="48"/>
      <c r="Q119" s="48"/>
    </row>
    <row r="120" spans="1:17" x14ac:dyDescent="0.2">
      <c r="A120" s="72"/>
      <c r="B120" s="48"/>
      <c r="C120" s="48"/>
      <c r="D120" s="48"/>
      <c r="E120" s="48"/>
      <c r="F120" s="76"/>
      <c r="G120" s="48"/>
      <c r="H120" s="48"/>
      <c r="I120" s="48"/>
      <c r="J120" s="48"/>
      <c r="K120" s="48"/>
      <c r="L120" s="48"/>
      <c r="M120" s="48"/>
      <c r="N120" s="48"/>
      <c r="O120" s="48"/>
      <c r="P120" s="48"/>
      <c r="Q120" s="48"/>
    </row>
    <row r="121" spans="1:17" x14ac:dyDescent="0.2">
      <c r="A121" s="73"/>
      <c r="B121" s="48"/>
      <c r="C121" s="48"/>
      <c r="D121" s="48"/>
      <c r="E121" s="48"/>
      <c r="F121" s="76"/>
      <c r="G121" s="48"/>
      <c r="H121" s="48"/>
      <c r="I121" s="48"/>
      <c r="J121" s="48"/>
      <c r="K121" s="48"/>
      <c r="L121" s="48"/>
      <c r="M121" s="48"/>
      <c r="N121" s="48"/>
      <c r="O121" s="48"/>
      <c r="P121" s="48"/>
      <c r="Q121" s="48"/>
    </row>
    <row r="122" spans="1:17" x14ac:dyDescent="0.2">
      <c r="A122" s="73"/>
      <c r="B122" s="74"/>
      <c r="C122" s="48"/>
      <c r="D122" s="48"/>
      <c r="E122" s="48"/>
      <c r="F122" s="76"/>
      <c r="G122" s="48"/>
      <c r="H122" s="48"/>
      <c r="I122" s="48"/>
      <c r="J122" s="48"/>
      <c r="K122" s="48"/>
      <c r="L122" s="48"/>
      <c r="M122" s="48"/>
      <c r="N122" s="48"/>
      <c r="O122" s="48"/>
      <c r="P122" s="48"/>
      <c r="Q122" s="48"/>
    </row>
    <row r="123" spans="1:17" x14ac:dyDescent="0.2">
      <c r="A123" s="72"/>
      <c r="B123" s="74"/>
      <c r="C123" s="48"/>
      <c r="D123" s="48"/>
      <c r="E123" s="48"/>
      <c r="F123" s="76"/>
      <c r="G123" s="48"/>
      <c r="H123" s="48"/>
      <c r="I123" s="48"/>
      <c r="J123" s="48"/>
      <c r="K123" s="48"/>
      <c r="L123" s="48"/>
      <c r="M123" s="48"/>
      <c r="N123" s="48"/>
      <c r="O123" s="48"/>
      <c r="P123" s="48"/>
      <c r="Q123" s="48"/>
    </row>
    <row r="124" spans="1:17" x14ac:dyDescent="0.2">
      <c r="A124" s="73"/>
      <c r="B124" s="48"/>
      <c r="C124" s="48"/>
      <c r="D124" s="48"/>
      <c r="E124" s="48"/>
      <c r="F124" s="76"/>
      <c r="G124" s="48"/>
      <c r="H124" s="48"/>
      <c r="I124" s="48"/>
      <c r="J124" s="48"/>
      <c r="K124" s="48"/>
      <c r="L124" s="48"/>
      <c r="M124" s="48"/>
      <c r="N124" s="48"/>
      <c r="O124" s="48"/>
      <c r="P124" s="48"/>
      <c r="Q124" s="48"/>
    </row>
    <row r="125" spans="1:17" x14ac:dyDescent="0.2">
      <c r="A125" s="73"/>
      <c r="B125" s="48"/>
      <c r="C125" s="48"/>
      <c r="D125" s="48"/>
      <c r="E125" s="48"/>
      <c r="F125" s="76"/>
      <c r="G125" s="48"/>
      <c r="H125" s="48"/>
      <c r="I125" s="48"/>
      <c r="J125" s="48"/>
      <c r="K125" s="48"/>
      <c r="L125" s="48"/>
      <c r="M125" s="48"/>
      <c r="N125" s="48"/>
      <c r="O125" s="48"/>
      <c r="P125" s="48"/>
      <c r="Q125" s="48"/>
    </row>
    <row r="126" spans="1:17" x14ac:dyDescent="0.2">
      <c r="A126" s="72"/>
      <c r="B126" s="48"/>
      <c r="C126" s="48"/>
      <c r="D126" s="48"/>
      <c r="E126" s="48"/>
      <c r="F126" s="76"/>
      <c r="G126" s="48"/>
      <c r="H126" s="48"/>
      <c r="I126" s="48"/>
      <c r="J126" s="48"/>
      <c r="K126" s="48"/>
      <c r="L126" s="48"/>
      <c r="M126" s="48"/>
      <c r="N126" s="48"/>
      <c r="O126" s="48"/>
      <c r="P126" s="48"/>
      <c r="Q126" s="48"/>
    </row>
    <row r="127" spans="1:17" x14ac:dyDescent="0.2">
      <c r="A127" s="73"/>
      <c r="B127" s="48"/>
      <c r="C127" s="48"/>
      <c r="D127" s="48"/>
      <c r="E127" s="48"/>
      <c r="F127" s="76"/>
      <c r="G127" s="48"/>
      <c r="H127" s="48"/>
      <c r="I127" s="48"/>
      <c r="J127" s="48"/>
      <c r="K127" s="48"/>
      <c r="L127" s="48"/>
      <c r="M127" s="48"/>
      <c r="N127" s="48"/>
      <c r="O127" s="48"/>
      <c r="P127" s="48"/>
      <c r="Q127" s="48"/>
    </row>
    <row r="128" spans="1:17" x14ac:dyDescent="0.2">
      <c r="A128" s="75"/>
      <c r="B128" s="75"/>
      <c r="C128" s="45"/>
      <c r="D128" s="45"/>
      <c r="E128" s="45"/>
      <c r="F128" s="45"/>
      <c r="G128" s="45"/>
      <c r="H128" s="45"/>
      <c r="I128" s="45"/>
      <c r="J128" s="45"/>
      <c r="K128" s="45"/>
      <c r="L128" s="45"/>
      <c r="M128" s="45"/>
      <c r="N128" s="45"/>
      <c r="O128" s="45"/>
      <c r="P128" s="45"/>
      <c r="Q128" s="48"/>
    </row>
    <row r="129" spans="1:17" x14ac:dyDescent="0.2">
      <c r="A129" s="48"/>
      <c r="B129" s="48"/>
      <c r="C129" s="48"/>
      <c r="D129" s="48"/>
      <c r="E129" s="48"/>
      <c r="F129" s="48"/>
      <c r="G129" s="48"/>
      <c r="H129" s="48"/>
      <c r="I129" s="48"/>
      <c r="J129" s="48"/>
      <c r="K129" s="48"/>
      <c r="L129" s="48"/>
      <c r="M129" s="48"/>
      <c r="N129" s="48"/>
      <c r="O129" s="48"/>
      <c r="P129" s="48"/>
      <c r="Q129" s="48"/>
    </row>
    <row r="130" spans="1:17" x14ac:dyDescent="0.2">
      <c r="A130" s="70"/>
      <c r="B130" s="70"/>
      <c r="C130" s="48"/>
      <c r="D130" s="48"/>
      <c r="E130" s="48"/>
      <c r="F130" s="48"/>
      <c r="G130" s="48"/>
      <c r="H130" s="48"/>
      <c r="I130" s="48"/>
      <c r="J130" s="48"/>
      <c r="K130" s="48"/>
      <c r="L130" s="48"/>
      <c r="M130" s="48"/>
      <c r="N130" s="48"/>
      <c r="O130" s="48"/>
      <c r="P130" s="48"/>
      <c r="Q130" s="48"/>
    </row>
    <row r="131" spans="1:17" x14ac:dyDescent="0.2">
      <c r="A131" s="48"/>
      <c r="B131" s="48"/>
      <c r="C131" s="48"/>
      <c r="D131" s="48"/>
      <c r="E131" s="48"/>
      <c r="F131" s="48"/>
      <c r="G131" s="48"/>
      <c r="H131" s="48"/>
      <c r="I131" s="48"/>
      <c r="J131" s="48"/>
      <c r="K131" s="48"/>
      <c r="L131" s="48"/>
      <c r="M131" s="48"/>
      <c r="N131" s="48"/>
      <c r="O131" s="48"/>
      <c r="P131" s="48"/>
      <c r="Q131" s="48"/>
    </row>
    <row r="132" spans="1:17" x14ac:dyDescent="0.2">
      <c r="A132" s="48"/>
      <c r="B132" s="48"/>
      <c r="C132" s="48"/>
      <c r="D132" s="48"/>
      <c r="E132" s="48"/>
      <c r="F132" s="48"/>
      <c r="G132" s="48"/>
      <c r="H132" s="48"/>
      <c r="I132" s="48"/>
      <c r="J132" s="48"/>
      <c r="K132" s="48"/>
      <c r="L132" s="48"/>
      <c r="M132" s="48"/>
      <c r="N132" s="48"/>
      <c r="O132" s="48"/>
      <c r="P132" s="48"/>
      <c r="Q132" s="48"/>
    </row>
    <row r="133" spans="1:17" x14ac:dyDescent="0.2">
      <c r="A133" s="48"/>
      <c r="B133" s="48"/>
      <c r="C133" s="48"/>
      <c r="D133" s="48"/>
      <c r="E133" s="48"/>
      <c r="F133" s="48"/>
      <c r="G133" s="48"/>
      <c r="H133" s="48"/>
      <c r="I133" s="48"/>
      <c r="J133" s="48"/>
      <c r="K133" s="48"/>
      <c r="L133" s="48"/>
      <c r="M133" s="48"/>
      <c r="N133" s="48"/>
      <c r="O133" s="48"/>
      <c r="P133" s="48"/>
      <c r="Q133" s="48"/>
    </row>
    <row r="134" spans="1:17" x14ac:dyDescent="0.2">
      <c r="A134" s="48"/>
      <c r="B134" s="48"/>
      <c r="C134" s="48"/>
      <c r="D134" s="48"/>
      <c r="E134" s="48"/>
      <c r="F134" s="48"/>
      <c r="G134" s="48"/>
      <c r="H134" s="48"/>
      <c r="I134" s="48"/>
      <c r="J134" s="48"/>
      <c r="K134" s="48"/>
      <c r="L134" s="48"/>
      <c r="M134" s="48"/>
      <c r="N134" s="48"/>
      <c r="O134" s="48"/>
      <c r="P134" s="48"/>
      <c r="Q134" s="48"/>
    </row>
    <row r="135" spans="1:17" x14ac:dyDescent="0.2">
      <c r="A135" s="48"/>
      <c r="B135" s="48"/>
      <c r="C135" s="48"/>
      <c r="D135" s="48"/>
      <c r="E135" s="48"/>
      <c r="F135" s="48"/>
      <c r="G135" s="48"/>
      <c r="H135" s="48"/>
      <c r="I135" s="48"/>
      <c r="J135" s="48"/>
      <c r="K135" s="48"/>
      <c r="L135" s="48"/>
      <c r="M135" s="48"/>
      <c r="N135" s="48"/>
      <c r="O135" s="48"/>
      <c r="P135" s="48"/>
      <c r="Q135" s="48"/>
    </row>
    <row r="136" spans="1:17" x14ac:dyDescent="0.2">
      <c r="A136" s="48"/>
      <c r="B136" s="48"/>
      <c r="C136" s="48"/>
      <c r="D136" s="48"/>
      <c r="E136" s="48"/>
      <c r="F136" s="48"/>
      <c r="G136" s="48"/>
      <c r="H136" s="48"/>
      <c r="I136" s="48"/>
      <c r="J136" s="48"/>
      <c r="K136" s="48"/>
      <c r="L136" s="48"/>
      <c r="M136" s="48"/>
      <c r="N136" s="48"/>
      <c r="O136" s="48"/>
      <c r="P136" s="48"/>
      <c r="Q136" s="48"/>
    </row>
    <row r="137" spans="1:17" x14ac:dyDescent="0.2">
      <c r="A137" s="48"/>
      <c r="B137" s="48"/>
      <c r="C137" s="48"/>
      <c r="D137" s="48"/>
      <c r="E137" s="48"/>
      <c r="F137" s="48"/>
      <c r="G137" s="48"/>
      <c r="H137" s="48"/>
      <c r="I137" s="48"/>
      <c r="J137" s="48"/>
      <c r="K137" s="48"/>
      <c r="L137" s="48"/>
      <c r="M137" s="48"/>
      <c r="N137" s="48"/>
      <c r="O137" s="48"/>
      <c r="P137" s="48"/>
      <c r="Q137" s="48"/>
    </row>
    <row r="138" spans="1:17" x14ac:dyDescent="0.2">
      <c r="A138" s="48"/>
      <c r="B138" s="48"/>
      <c r="C138" s="48"/>
      <c r="D138" s="48"/>
      <c r="E138" s="48"/>
      <c r="F138" s="48"/>
      <c r="G138" s="48"/>
      <c r="H138" s="48"/>
      <c r="I138" s="48"/>
      <c r="J138" s="48"/>
      <c r="K138" s="48"/>
      <c r="L138" s="48"/>
      <c r="M138" s="48"/>
      <c r="N138" s="48"/>
      <c r="O138" s="48"/>
      <c r="P138" s="48"/>
      <c r="Q138" s="48"/>
    </row>
    <row r="139" spans="1:17" x14ac:dyDescent="0.2">
      <c r="A139" s="48"/>
      <c r="B139" s="48"/>
      <c r="C139" s="48"/>
      <c r="D139" s="48"/>
      <c r="E139" s="48"/>
      <c r="F139" s="48"/>
      <c r="G139" s="48"/>
      <c r="H139" s="48"/>
      <c r="I139" s="48"/>
      <c r="J139" s="48"/>
      <c r="K139" s="48"/>
      <c r="L139" s="48"/>
      <c r="M139" s="48"/>
      <c r="N139" s="48"/>
      <c r="O139" s="48"/>
      <c r="P139" s="48"/>
      <c r="Q139" s="48"/>
    </row>
    <row r="140" spans="1:17" x14ac:dyDescent="0.2">
      <c r="A140" s="48"/>
      <c r="B140" s="48"/>
      <c r="C140" s="48"/>
      <c r="D140" s="48"/>
      <c r="E140" s="48"/>
      <c r="F140" s="48"/>
      <c r="G140" s="48"/>
      <c r="H140" s="48"/>
      <c r="I140" s="48"/>
      <c r="J140" s="48"/>
      <c r="K140" s="48"/>
      <c r="L140" s="48"/>
      <c r="M140" s="48"/>
      <c r="N140" s="48"/>
      <c r="O140" s="48"/>
      <c r="P140" s="48"/>
      <c r="Q140" s="48"/>
    </row>
    <row r="141" spans="1:17" x14ac:dyDescent="0.2">
      <c r="A141" s="48"/>
      <c r="B141" s="48"/>
      <c r="C141" s="48"/>
      <c r="D141" s="48"/>
      <c r="E141" s="48"/>
      <c r="F141" s="48"/>
      <c r="G141" s="48"/>
      <c r="H141" s="48"/>
      <c r="I141" s="48"/>
      <c r="J141" s="48"/>
      <c r="K141" s="48"/>
      <c r="L141" s="48"/>
      <c r="M141" s="48"/>
      <c r="N141" s="48"/>
      <c r="O141" s="48"/>
      <c r="P141" s="48"/>
      <c r="Q141" s="48"/>
    </row>
    <row r="142" spans="1:17" x14ac:dyDescent="0.2">
      <c r="A142" s="48"/>
      <c r="B142" s="48"/>
      <c r="C142" s="48"/>
      <c r="D142" s="48"/>
      <c r="E142" s="48"/>
      <c r="F142" s="48"/>
      <c r="G142" s="48"/>
      <c r="H142" s="48"/>
      <c r="I142" s="48"/>
      <c r="J142" s="48"/>
      <c r="K142" s="48"/>
      <c r="L142" s="48"/>
      <c r="M142" s="48"/>
      <c r="N142" s="48"/>
      <c r="O142" s="48"/>
      <c r="P142" s="48"/>
      <c r="Q142" s="48"/>
    </row>
    <row r="143" spans="1:17" x14ac:dyDescent="0.2">
      <c r="A143" s="48"/>
      <c r="B143" s="48"/>
      <c r="C143" s="48"/>
      <c r="D143" s="48"/>
      <c r="E143" s="48"/>
      <c r="F143" s="48"/>
      <c r="G143" s="48"/>
      <c r="H143" s="48"/>
      <c r="I143" s="48"/>
      <c r="J143" s="48"/>
      <c r="K143" s="48"/>
      <c r="L143" s="48"/>
      <c r="M143" s="48"/>
      <c r="N143" s="48"/>
      <c r="O143" s="48"/>
      <c r="P143" s="48"/>
      <c r="Q143" s="48"/>
    </row>
    <row r="144" spans="1:17" x14ac:dyDescent="0.2">
      <c r="A144" s="48"/>
      <c r="B144" s="48"/>
      <c r="C144" s="48"/>
      <c r="D144" s="48"/>
      <c r="E144" s="48"/>
      <c r="F144" s="48"/>
      <c r="G144" s="48"/>
      <c r="H144" s="48"/>
      <c r="I144" s="48"/>
      <c r="J144" s="48"/>
      <c r="K144" s="48"/>
      <c r="L144" s="48"/>
      <c r="M144" s="48"/>
      <c r="N144" s="48"/>
      <c r="O144" s="48"/>
      <c r="P144" s="48"/>
      <c r="Q144" s="48"/>
    </row>
    <row r="145" spans="1:17" x14ac:dyDescent="0.2">
      <c r="A145" s="48"/>
      <c r="B145" s="48"/>
      <c r="C145" s="48"/>
      <c r="D145" s="48"/>
      <c r="E145" s="48"/>
      <c r="F145" s="48"/>
      <c r="G145" s="48"/>
      <c r="H145" s="48"/>
      <c r="I145" s="48"/>
      <c r="J145" s="48"/>
      <c r="K145" s="48"/>
      <c r="L145" s="48"/>
      <c r="M145" s="48"/>
      <c r="N145" s="48"/>
      <c r="O145" s="48"/>
      <c r="P145" s="48"/>
      <c r="Q145" s="48"/>
    </row>
    <row r="146" spans="1:17" x14ac:dyDescent="0.2">
      <c r="A146" s="48"/>
      <c r="B146" s="48"/>
      <c r="C146" s="48"/>
      <c r="D146" s="48"/>
      <c r="E146" s="48"/>
      <c r="F146" s="48"/>
      <c r="G146" s="48"/>
      <c r="H146" s="48"/>
      <c r="I146" s="48"/>
      <c r="J146" s="48"/>
      <c r="K146" s="48"/>
      <c r="L146" s="48"/>
      <c r="M146" s="48"/>
      <c r="N146" s="48"/>
      <c r="O146" s="48"/>
      <c r="P146" s="48"/>
      <c r="Q146" s="48"/>
    </row>
    <row r="147" spans="1:17" x14ac:dyDescent="0.2">
      <c r="A147" s="48"/>
      <c r="B147" s="48"/>
      <c r="C147" s="48"/>
      <c r="D147" s="48"/>
      <c r="E147" s="48"/>
      <c r="F147" s="48"/>
      <c r="G147" s="48"/>
      <c r="H147" s="48"/>
      <c r="I147" s="48"/>
      <c r="J147" s="48"/>
      <c r="K147" s="48"/>
      <c r="L147" s="48"/>
      <c r="M147" s="48"/>
      <c r="N147" s="48"/>
      <c r="O147" s="48"/>
      <c r="P147" s="48"/>
      <c r="Q147" s="48"/>
    </row>
    <row r="148" spans="1:17" x14ac:dyDescent="0.2">
      <c r="A148" s="48"/>
      <c r="B148" s="48"/>
      <c r="C148" s="48"/>
      <c r="D148" s="48"/>
      <c r="E148" s="48"/>
      <c r="F148" s="48"/>
      <c r="G148" s="48"/>
      <c r="H148" s="48"/>
      <c r="I148" s="48"/>
      <c r="J148" s="48"/>
      <c r="K148" s="48"/>
      <c r="L148" s="48"/>
      <c r="M148" s="48"/>
      <c r="N148" s="48"/>
      <c r="O148" s="48"/>
      <c r="P148" s="48"/>
      <c r="Q148" s="48"/>
    </row>
    <row r="149" spans="1:17" x14ac:dyDescent="0.2">
      <c r="A149" s="48"/>
      <c r="B149" s="48"/>
      <c r="C149" s="48"/>
      <c r="D149" s="48"/>
      <c r="E149" s="48"/>
      <c r="F149" s="48"/>
      <c r="G149" s="48"/>
      <c r="H149" s="48"/>
      <c r="I149" s="48"/>
      <c r="J149" s="48"/>
      <c r="K149" s="48"/>
      <c r="L149" s="48"/>
      <c r="M149" s="48"/>
      <c r="N149" s="48"/>
      <c r="O149" s="48"/>
      <c r="P149" s="48"/>
      <c r="Q149" s="48"/>
    </row>
    <row r="150" spans="1:17" x14ac:dyDescent="0.2">
      <c r="A150" s="48"/>
      <c r="B150" s="48"/>
      <c r="C150" s="48"/>
      <c r="D150" s="48"/>
      <c r="E150" s="48"/>
      <c r="F150" s="48"/>
      <c r="G150" s="48"/>
      <c r="H150" s="48"/>
      <c r="I150" s="48"/>
      <c r="J150" s="48"/>
      <c r="K150" s="48"/>
      <c r="L150" s="48"/>
      <c r="M150" s="48"/>
      <c r="N150" s="48"/>
      <c r="O150" s="48"/>
      <c r="P150" s="48"/>
      <c r="Q150" s="48"/>
    </row>
    <row r="151" spans="1:17" x14ac:dyDescent="0.2">
      <c r="A151" s="48"/>
      <c r="B151" s="48"/>
      <c r="C151" s="48"/>
      <c r="D151" s="48"/>
      <c r="E151" s="48"/>
      <c r="F151" s="48"/>
      <c r="G151" s="48"/>
      <c r="H151" s="48"/>
      <c r="I151" s="48"/>
      <c r="J151" s="48"/>
      <c r="K151" s="48"/>
      <c r="L151" s="48"/>
      <c r="M151" s="48"/>
      <c r="N151" s="48"/>
      <c r="O151" s="48"/>
      <c r="P151" s="48"/>
      <c r="Q151" s="48"/>
    </row>
    <row r="152" spans="1:17" x14ac:dyDescent="0.2">
      <c r="A152" s="48"/>
      <c r="B152" s="48"/>
      <c r="C152" s="48"/>
      <c r="D152" s="48"/>
      <c r="E152" s="48"/>
      <c r="F152" s="48"/>
      <c r="G152" s="48"/>
      <c r="H152" s="48"/>
      <c r="I152" s="48"/>
      <c r="J152" s="48"/>
      <c r="K152" s="48"/>
      <c r="L152" s="48"/>
      <c r="M152" s="48"/>
      <c r="N152" s="48"/>
      <c r="O152" s="48"/>
      <c r="P152" s="48"/>
      <c r="Q152" s="48"/>
    </row>
    <row r="153" spans="1:17" x14ac:dyDescent="0.2">
      <c r="A153" s="48"/>
      <c r="B153" s="48"/>
      <c r="C153" s="48"/>
      <c r="D153" s="48"/>
      <c r="E153" s="48"/>
      <c r="F153" s="48"/>
      <c r="G153" s="48"/>
      <c r="H153" s="48"/>
      <c r="I153" s="48"/>
      <c r="J153" s="48"/>
      <c r="K153" s="48"/>
      <c r="L153" s="48"/>
      <c r="M153" s="48"/>
      <c r="N153" s="48"/>
      <c r="O153" s="48"/>
      <c r="P153" s="48"/>
      <c r="Q153" s="48"/>
    </row>
    <row r="154" spans="1:17" x14ac:dyDescent="0.2">
      <c r="A154" s="48"/>
      <c r="B154" s="48"/>
      <c r="C154" s="48"/>
      <c r="D154" s="48"/>
      <c r="E154" s="48"/>
      <c r="F154" s="48"/>
      <c r="G154" s="48"/>
      <c r="H154" s="48"/>
      <c r="I154" s="48"/>
      <c r="J154" s="48"/>
      <c r="K154" s="48"/>
      <c r="L154" s="48"/>
      <c r="M154" s="48"/>
      <c r="N154" s="48"/>
      <c r="O154" s="48"/>
      <c r="P154" s="48"/>
      <c r="Q154" s="48"/>
    </row>
    <row r="155" spans="1:17" x14ac:dyDescent="0.2">
      <c r="A155" s="48"/>
      <c r="B155" s="48"/>
      <c r="C155" s="48"/>
      <c r="D155" s="48"/>
      <c r="E155" s="48"/>
      <c r="F155" s="48"/>
      <c r="G155" s="48"/>
      <c r="H155" s="48"/>
      <c r="I155" s="48"/>
      <c r="J155" s="48"/>
      <c r="K155" s="48"/>
      <c r="L155" s="48"/>
      <c r="M155" s="48"/>
      <c r="N155" s="48"/>
      <c r="O155" s="48"/>
      <c r="P155" s="48"/>
      <c r="Q155" s="48"/>
    </row>
    <row r="156" spans="1:17" x14ac:dyDescent="0.2">
      <c r="A156" s="48"/>
      <c r="B156" s="48"/>
      <c r="C156" s="48"/>
      <c r="D156" s="48"/>
      <c r="E156" s="48"/>
      <c r="F156" s="48"/>
      <c r="G156" s="48"/>
      <c r="H156" s="48"/>
      <c r="I156" s="48"/>
      <c r="J156" s="48"/>
      <c r="K156" s="48"/>
      <c r="L156" s="48"/>
      <c r="M156" s="48"/>
      <c r="N156" s="48"/>
      <c r="O156" s="48"/>
      <c r="P156" s="48"/>
      <c r="Q156" s="48"/>
    </row>
    <row r="157" spans="1:17" x14ac:dyDescent="0.2">
      <c r="A157" s="48"/>
      <c r="B157" s="48"/>
      <c r="C157" s="48"/>
      <c r="D157" s="48"/>
      <c r="E157" s="48"/>
      <c r="F157" s="48"/>
      <c r="G157" s="48"/>
      <c r="H157" s="48"/>
      <c r="I157" s="48"/>
      <c r="J157" s="48"/>
      <c r="K157" s="48"/>
      <c r="L157" s="48"/>
      <c r="M157" s="48"/>
      <c r="N157" s="48"/>
      <c r="O157" s="48"/>
      <c r="P157" s="48"/>
      <c r="Q157" s="48"/>
    </row>
    <row r="158" spans="1:17" x14ac:dyDescent="0.2">
      <c r="A158" s="48"/>
      <c r="B158" s="48"/>
      <c r="C158" s="48"/>
      <c r="D158" s="48"/>
      <c r="E158" s="48"/>
      <c r="F158" s="48"/>
      <c r="G158" s="48"/>
      <c r="H158" s="48"/>
      <c r="I158" s="48"/>
      <c r="J158" s="48"/>
      <c r="K158" s="48"/>
      <c r="L158" s="48"/>
      <c r="M158" s="48"/>
      <c r="N158" s="48"/>
      <c r="O158" s="48"/>
      <c r="P158" s="48"/>
      <c r="Q158" s="48"/>
    </row>
    <row r="159" spans="1:17" x14ac:dyDescent="0.2">
      <c r="A159" s="48"/>
      <c r="B159" s="48"/>
      <c r="C159" s="48"/>
      <c r="D159" s="48"/>
      <c r="E159" s="48"/>
      <c r="F159" s="48"/>
      <c r="G159" s="48"/>
      <c r="H159" s="48"/>
      <c r="I159" s="48"/>
      <c r="J159" s="48"/>
      <c r="K159" s="48"/>
      <c r="L159" s="48"/>
      <c r="M159" s="48"/>
      <c r="N159" s="48"/>
      <c r="O159" s="48"/>
      <c r="P159" s="48"/>
      <c r="Q159" s="48"/>
    </row>
    <row r="160" spans="1:17" x14ac:dyDescent="0.2">
      <c r="A160" s="48"/>
      <c r="B160" s="48"/>
      <c r="C160" s="48"/>
      <c r="D160" s="48"/>
      <c r="E160" s="48"/>
      <c r="F160" s="48"/>
      <c r="G160" s="48"/>
      <c r="H160" s="48"/>
      <c r="I160" s="48"/>
      <c r="J160" s="48"/>
      <c r="K160" s="48"/>
      <c r="L160" s="48"/>
      <c r="M160" s="48"/>
      <c r="N160" s="48"/>
      <c r="O160" s="48"/>
      <c r="P160" s="48"/>
      <c r="Q160" s="48"/>
    </row>
    <row r="161" spans="1:17" x14ac:dyDescent="0.2">
      <c r="A161" s="48"/>
      <c r="B161" s="48"/>
      <c r="C161" s="48"/>
      <c r="D161" s="48"/>
      <c r="E161" s="48"/>
      <c r="F161" s="48"/>
      <c r="G161" s="48"/>
      <c r="H161" s="48"/>
      <c r="I161" s="48"/>
      <c r="J161" s="48"/>
      <c r="K161" s="48"/>
      <c r="L161" s="48"/>
      <c r="M161" s="48"/>
      <c r="N161" s="48"/>
      <c r="O161" s="48"/>
      <c r="P161" s="48"/>
      <c r="Q161" s="48"/>
    </row>
    <row r="162" spans="1:17" x14ac:dyDescent="0.2">
      <c r="A162" s="48"/>
      <c r="B162" s="48"/>
      <c r="C162" s="48"/>
      <c r="D162" s="48"/>
      <c r="E162" s="48"/>
      <c r="F162" s="48"/>
      <c r="G162" s="48"/>
      <c r="H162" s="48"/>
      <c r="I162" s="48"/>
      <c r="J162" s="48"/>
      <c r="K162" s="48"/>
      <c r="L162" s="48"/>
      <c r="M162" s="48"/>
      <c r="N162" s="48"/>
      <c r="O162" s="48"/>
      <c r="P162" s="48"/>
      <c r="Q162" s="48"/>
    </row>
    <row r="163" spans="1:17" x14ac:dyDescent="0.2">
      <c r="A163" s="48"/>
      <c r="B163" s="48"/>
      <c r="C163" s="48"/>
      <c r="D163" s="48"/>
      <c r="E163" s="48"/>
      <c r="F163" s="48"/>
      <c r="G163" s="48"/>
      <c r="H163" s="48"/>
      <c r="I163" s="48"/>
      <c r="J163" s="48"/>
      <c r="K163" s="48"/>
      <c r="L163" s="48"/>
      <c r="M163" s="48"/>
      <c r="N163" s="48"/>
      <c r="O163" s="48"/>
      <c r="P163" s="48"/>
      <c r="Q163" s="48"/>
    </row>
    <row r="164" spans="1:17" x14ac:dyDescent="0.2">
      <c r="A164" s="48"/>
      <c r="B164" s="48"/>
      <c r="C164" s="48"/>
      <c r="D164" s="48"/>
      <c r="E164" s="48"/>
      <c r="F164" s="48"/>
      <c r="G164" s="48"/>
      <c r="H164" s="48"/>
      <c r="I164" s="48"/>
      <c r="J164" s="48"/>
      <c r="K164" s="48"/>
      <c r="L164" s="48"/>
      <c r="M164" s="48"/>
      <c r="N164" s="48"/>
      <c r="O164" s="48"/>
      <c r="P164" s="48"/>
      <c r="Q164" s="48"/>
    </row>
    <row r="165" spans="1:17" x14ac:dyDescent="0.2">
      <c r="A165" s="48"/>
      <c r="B165" s="48"/>
      <c r="C165" s="48"/>
      <c r="D165" s="48"/>
      <c r="E165" s="48"/>
      <c r="F165" s="48"/>
      <c r="G165" s="48"/>
      <c r="H165" s="48"/>
      <c r="I165" s="48"/>
      <c r="J165" s="48"/>
      <c r="K165" s="48"/>
      <c r="L165" s="48"/>
      <c r="M165" s="48"/>
      <c r="N165" s="48"/>
      <c r="O165" s="48"/>
      <c r="P165" s="48"/>
      <c r="Q165" s="48"/>
    </row>
    <row r="166" spans="1:17" x14ac:dyDescent="0.2">
      <c r="A166" s="48"/>
      <c r="B166" s="48"/>
      <c r="C166" s="48"/>
      <c r="D166" s="48"/>
      <c r="E166" s="48"/>
      <c r="F166" s="48"/>
      <c r="G166" s="48"/>
      <c r="H166" s="48"/>
      <c r="I166" s="48"/>
      <c r="J166" s="48"/>
      <c r="K166" s="48"/>
      <c r="L166" s="48"/>
      <c r="M166" s="48"/>
      <c r="N166" s="48"/>
      <c r="O166" s="48"/>
      <c r="P166" s="48"/>
      <c r="Q166" s="48"/>
    </row>
    <row r="167" spans="1:17" x14ac:dyDescent="0.2">
      <c r="A167" s="48"/>
      <c r="B167" s="48"/>
      <c r="C167" s="48"/>
      <c r="D167" s="48"/>
      <c r="E167" s="48"/>
      <c r="F167" s="48"/>
      <c r="G167" s="48"/>
      <c r="H167" s="48"/>
      <c r="I167" s="48"/>
      <c r="J167" s="48"/>
      <c r="K167" s="48"/>
      <c r="L167" s="48"/>
      <c r="M167" s="48"/>
      <c r="N167" s="48"/>
      <c r="O167" s="48"/>
      <c r="P167" s="48"/>
      <c r="Q167" s="48"/>
    </row>
    <row r="168" spans="1:17" x14ac:dyDescent="0.2">
      <c r="A168" s="48"/>
      <c r="B168" s="48"/>
      <c r="C168" s="48"/>
      <c r="D168" s="48"/>
      <c r="E168" s="48"/>
      <c r="F168" s="48"/>
      <c r="G168" s="48"/>
      <c r="H168" s="48"/>
      <c r="I168" s="48"/>
      <c r="J168" s="48"/>
      <c r="K168" s="48"/>
      <c r="L168" s="48"/>
      <c r="M168" s="48"/>
      <c r="N168" s="48"/>
      <c r="O168" s="48"/>
      <c r="P168" s="48"/>
      <c r="Q168" s="48"/>
    </row>
    <row r="169" spans="1:17" x14ac:dyDescent="0.2">
      <c r="A169" s="48"/>
      <c r="B169" s="48"/>
      <c r="C169" s="48"/>
      <c r="D169" s="48"/>
      <c r="E169" s="48"/>
      <c r="F169" s="48"/>
      <c r="G169" s="48"/>
      <c r="H169" s="48"/>
      <c r="I169" s="48"/>
      <c r="J169" s="48"/>
      <c r="K169" s="48"/>
      <c r="L169" s="48"/>
      <c r="M169" s="48"/>
      <c r="N169" s="48"/>
      <c r="O169" s="48"/>
      <c r="P169" s="48"/>
      <c r="Q169" s="48"/>
    </row>
    <row r="170" spans="1:17" x14ac:dyDescent="0.2">
      <c r="A170" s="48"/>
      <c r="B170" s="48"/>
      <c r="C170" s="48"/>
      <c r="D170" s="48"/>
      <c r="E170" s="48"/>
      <c r="F170" s="48"/>
      <c r="G170" s="48"/>
      <c r="H170" s="48"/>
      <c r="I170" s="48"/>
      <c r="J170" s="48"/>
      <c r="K170" s="48"/>
      <c r="L170" s="48"/>
      <c r="M170" s="48"/>
      <c r="N170" s="48"/>
      <c r="O170" s="48"/>
      <c r="P170" s="48"/>
      <c r="Q170" s="48"/>
    </row>
    <row r="171" spans="1:17" x14ac:dyDescent="0.2">
      <c r="A171" s="48"/>
      <c r="B171" s="48"/>
      <c r="C171" s="48"/>
      <c r="D171" s="48"/>
      <c r="E171" s="48"/>
      <c r="F171" s="48"/>
      <c r="G171" s="48"/>
      <c r="H171" s="48"/>
      <c r="I171" s="48"/>
      <c r="J171" s="48"/>
      <c r="K171" s="48"/>
      <c r="L171" s="48"/>
      <c r="M171" s="48"/>
      <c r="N171" s="48"/>
      <c r="O171" s="48"/>
      <c r="P171" s="48"/>
      <c r="Q171" s="48"/>
    </row>
    <row r="172" spans="1:17" x14ac:dyDescent="0.2">
      <c r="A172" s="48"/>
      <c r="B172" s="48"/>
      <c r="C172" s="48"/>
      <c r="D172" s="48"/>
      <c r="E172" s="48"/>
      <c r="F172" s="48"/>
      <c r="G172" s="48"/>
      <c r="H172" s="48"/>
      <c r="I172" s="48"/>
      <c r="J172" s="48"/>
      <c r="K172" s="48"/>
      <c r="L172" s="48"/>
      <c r="M172" s="48"/>
      <c r="N172" s="48"/>
      <c r="O172" s="48"/>
      <c r="P172" s="48"/>
      <c r="Q172" s="48"/>
    </row>
    <row r="173" spans="1:17" x14ac:dyDescent="0.2">
      <c r="A173" s="48"/>
      <c r="B173" s="48"/>
      <c r="C173" s="48"/>
      <c r="D173" s="48"/>
      <c r="E173" s="48"/>
      <c r="F173" s="48"/>
      <c r="G173" s="48"/>
      <c r="H173" s="48"/>
      <c r="I173" s="48"/>
      <c r="J173" s="48"/>
      <c r="K173" s="48"/>
      <c r="L173" s="48"/>
      <c r="M173" s="48"/>
      <c r="N173" s="48"/>
      <c r="O173" s="48"/>
      <c r="P173" s="48"/>
      <c r="Q173" s="48"/>
    </row>
    <row r="174" spans="1:17" x14ac:dyDescent="0.2">
      <c r="A174" s="48"/>
      <c r="B174" s="48"/>
      <c r="C174" s="48"/>
      <c r="D174" s="48"/>
      <c r="E174" s="48"/>
      <c r="F174" s="48"/>
      <c r="G174" s="48"/>
      <c r="H174" s="48"/>
      <c r="I174" s="48"/>
      <c r="J174" s="48"/>
      <c r="K174" s="48"/>
      <c r="L174" s="48"/>
      <c r="M174" s="48"/>
      <c r="N174" s="48"/>
      <c r="O174" s="48"/>
      <c r="P174" s="48"/>
      <c r="Q174" s="48"/>
    </row>
    <row r="175" spans="1:17" x14ac:dyDescent="0.2">
      <c r="A175" s="48"/>
      <c r="B175" s="48"/>
      <c r="C175" s="48"/>
      <c r="D175" s="48"/>
      <c r="E175" s="48"/>
      <c r="F175" s="48"/>
      <c r="G175" s="48"/>
      <c r="H175" s="48"/>
      <c r="I175" s="48"/>
      <c r="J175" s="48"/>
      <c r="K175" s="48"/>
      <c r="L175" s="48"/>
      <c r="M175" s="48"/>
      <c r="N175" s="48"/>
      <c r="O175" s="48"/>
      <c r="P175" s="48"/>
      <c r="Q175" s="48"/>
    </row>
    <row r="176" spans="1:17" x14ac:dyDescent="0.2">
      <c r="A176" s="48"/>
      <c r="B176" s="48"/>
      <c r="C176" s="48"/>
      <c r="D176" s="48"/>
      <c r="E176" s="48"/>
      <c r="F176" s="48"/>
      <c r="G176" s="48"/>
      <c r="H176" s="48"/>
      <c r="I176" s="48"/>
      <c r="J176" s="48"/>
      <c r="K176" s="48"/>
      <c r="L176" s="48"/>
      <c r="M176" s="48"/>
      <c r="N176" s="48"/>
      <c r="O176" s="48"/>
      <c r="P176" s="48"/>
      <c r="Q176" s="48"/>
    </row>
    <row r="177" spans="1:17" x14ac:dyDescent="0.2">
      <c r="A177" s="48"/>
      <c r="B177" s="48"/>
      <c r="C177" s="48"/>
      <c r="D177" s="48"/>
      <c r="E177" s="48"/>
      <c r="F177" s="48"/>
      <c r="G177" s="48"/>
      <c r="H177" s="48"/>
      <c r="I177" s="48"/>
      <c r="J177" s="48"/>
      <c r="K177" s="48"/>
      <c r="L177" s="48"/>
      <c r="M177" s="48"/>
      <c r="N177" s="48"/>
      <c r="O177" s="48"/>
      <c r="P177" s="48"/>
      <c r="Q177" s="48"/>
    </row>
    <row r="178" spans="1:17" x14ac:dyDescent="0.2">
      <c r="A178" s="48"/>
      <c r="B178" s="48"/>
      <c r="C178" s="48"/>
      <c r="D178" s="48"/>
      <c r="E178" s="48"/>
      <c r="F178" s="48"/>
      <c r="G178" s="48"/>
      <c r="H178" s="48"/>
      <c r="I178" s="48"/>
      <c r="J178" s="48"/>
      <c r="K178" s="48"/>
      <c r="L178" s="48"/>
      <c r="M178" s="48"/>
      <c r="N178" s="48"/>
      <c r="O178" s="48"/>
      <c r="P178" s="48"/>
      <c r="Q178" s="48"/>
    </row>
    <row r="179" spans="1:17" x14ac:dyDescent="0.2">
      <c r="A179" s="48"/>
      <c r="B179" s="48"/>
      <c r="C179" s="48"/>
      <c r="D179" s="48"/>
      <c r="E179" s="48"/>
      <c r="F179" s="48"/>
      <c r="G179" s="48"/>
      <c r="H179" s="48"/>
      <c r="I179" s="48"/>
      <c r="J179" s="48"/>
      <c r="K179" s="48"/>
      <c r="L179" s="48"/>
      <c r="M179" s="48"/>
      <c r="N179" s="48"/>
      <c r="O179" s="48"/>
      <c r="P179" s="48"/>
      <c r="Q179" s="48"/>
    </row>
    <row r="180" spans="1:17" x14ac:dyDescent="0.2">
      <c r="A180" s="48"/>
      <c r="B180" s="48"/>
      <c r="C180" s="48"/>
      <c r="D180" s="48"/>
      <c r="E180" s="48"/>
      <c r="F180" s="48"/>
      <c r="G180" s="48"/>
      <c r="H180" s="48"/>
      <c r="I180" s="48"/>
      <c r="J180" s="48"/>
      <c r="K180" s="48"/>
      <c r="L180" s="48"/>
      <c r="M180" s="48"/>
      <c r="N180" s="48"/>
      <c r="O180" s="48"/>
      <c r="P180" s="48"/>
      <c r="Q180" s="48"/>
    </row>
    <row r="181" spans="1:17" x14ac:dyDescent="0.2">
      <c r="A181" s="48"/>
      <c r="B181" s="48"/>
      <c r="C181" s="48"/>
      <c r="D181" s="48"/>
      <c r="E181" s="48"/>
      <c r="F181" s="48"/>
      <c r="G181" s="48"/>
      <c r="H181" s="48"/>
      <c r="I181" s="48"/>
      <c r="J181" s="48"/>
      <c r="K181" s="48"/>
      <c r="L181" s="48"/>
      <c r="M181" s="48"/>
      <c r="N181" s="48"/>
      <c r="O181" s="48"/>
      <c r="P181" s="48"/>
      <c r="Q181" s="48"/>
    </row>
    <row r="182" spans="1:17" x14ac:dyDescent="0.2">
      <c r="A182" s="48"/>
      <c r="B182" s="48"/>
      <c r="C182" s="48"/>
      <c r="D182" s="48"/>
      <c r="E182" s="48"/>
      <c r="F182" s="48"/>
      <c r="G182" s="48"/>
      <c r="H182" s="48"/>
      <c r="I182" s="48"/>
      <c r="J182" s="48"/>
      <c r="K182" s="48"/>
      <c r="L182" s="48"/>
      <c r="M182" s="48"/>
      <c r="N182" s="48"/>
      <c r="O182" s="48"/>
      <c r="P182" s="48"/>
      <c r="Q182" s="48"/>
    </row>
    <row r="183" spans="1:17" x14ac:dyDescent="0.2">
      <c r="A183" s="48"/>
      <c r="B183" s="48"/>
      <c r="C183" s="48"/>
      <c r="D183" s="48"/>
      <c r="E183" s="48"/>
      <c r="F183" s="48"/>
      <c r="G183" s="48"/>
      <c r="H183" s="48"/>
      <c r="I183" s="48"/>
      <c r="J183" s="48"/>
      <c r="K183" s="48"/>
      <c r="L183" s="48"/>
      <c r="M183" s="48"/>
      <c r="N183" s="48"/>
      <c r="O183" s="48"/>
      <c r="P183" s="48"/>
      <c r="Q183" s="48"/>
    </row>
    <row r="184" spans="1:17" x14ac:dyDescent="0.2">
      <c r="A184" s="48"/>
      <c r="B184" s="48"/>
      <c r="C184" s="48"/>
      <c r="D184" s="48"/>
      <c r="E184" s="48"/>
      <c r="F184" s="48"/>
      <c r="G184" s="48"/>
      <c r="H184" s="48"/>
      <c r="I184" s="48"/>
      <c r="J184" s="48"/>
      <c r="K184" s="48"/>
      <c r="L184" s="48"/>
      <c r="M184" s="48"/>
      <c r="N184" s="48"/>
      <c r="O184" s="48"/>
      <c r="P184" s="48"/>
      <c r="Q184" s="48"/>
    </row>
  </sheetData>
  <mergeCells count="52">
    <mergeCell ref="AA28:AE28"/>
    <mergeCell ref="AD24:AE24"/>
    <mergeCell ref="AC6:AD7"/>
    <mergeCell ref="AF5:AG5"/>
    <mergeCell ref="AH5:AI5"/>
    <mergeCell ref="AH6:AI7"/>
    <mergeCell ref="U25:AA25"/>
    <mergeCell ref="Y6:Z7"/>
    <mergeCell ref="U26:AE26"/>
    <mergeCell ref="V27:AE27"/>
    <mergeCell ref="AA6:AB7"/>
    <mergeCell ref="C23:D23"/>
    <mergeCell ref="T23:Z23"/>
    <mergeCell ref="AB23:AE23"/>
    <mergeCell ref="U6:V7"/>
    <mergeCell ref="W6:X7"/>
    <mergeCell ref="G6:G9"/>
    <mergeCell ref="H6:H9"/>
    <mergeCell ref="P7:P9"/>
    <mergeCell ref="F6:F7"/>
    <mergeCell ref="AX7:AX9"/>
    <mergeCell ref="A19:B19"/>
    <mergeCell ref="AW7:AW9"/>
    <mergeCell ref="AF6:AG7"/>
    <mergeCell ref="AR5:AR9"/>
    <mergeCell ref="AJ5:AJ9"/>
    <mergeCell ref="AK5:AP5"/>
    <mergeCell ref="AK6:AP6"/>
    <mergeCell ref="AK7:AL7"/>
    <mergeCell ref="AM7:AN7"/>
    <mergeCell ref="AS5:AS9"/>
    <mergeCell ref="AO7:AP7"/>
    <mergeCell ref="A6:A9"/>
    <mergeCell ref="B6:B9"/>
    <mergeCell ref="C6:D7"/>
    <mergeCell ref="E6:E9"/>
    <mergeCell ref="AQ5:AQ9"/>
    <mergeCell ref="Q6:R7"/>
    <mergeCell ref="S6:T7"/>
    <mergeCell ref="I5:O5"/>
    <mergeCell ref="AA2:AE2"/>
    <mergeCell ref="A3:AD3"/>
    <mergeCell ref="C5:H5"/>
    <mergeCell ref="Q5:R5"/>
    <mergeCell ref="S5:T5"/>
    <mergeCell ref="U5:V5"/>
    <mergeCell ref="W5:X5"/>
    <mergeCell ref="Y5:Z5"/>
    <mergeCell ref="AA5:AB5"/>
    <mergeCell ref="K6:N6"/>
    <mergeCell ref="AC5:AD5"/>
    <mergeCell ref="AE5:AE9"/>
  </mergeCells>
  <phoneticPr fontId="29" type="noConversion"/>
  <pageMargins left="0.23622047244094491" right="0.23622047244094491" top="0.74803149606299213" bottom="0.35433070866141736" header="0.31496062992125984" footer="0.31496062992125984"/>
  <pageSetup paperSize="9" scale="90"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W183"/>
  <sheetViews>
    <sheetView topLeftCell="A4" zoomScale="64" zoomScaleNormal="64" workbookViewId="0">
      <selection activeCell="K6" sqref="K6"/>
    </sheetView>
  </sheetViews>
  <sheetFormatPr defaultColWidth="13" defaultRowHeight="11.25" x14ac:dyDescent="0.2"/>
  <cols>
    <col min="1" max="1" width="2.85546875" style="1" customWidth="1"/>
    <col min="2" max="2" width="15.42578125" style="1" customWidth="1"/>
    <col min="3" max="3" width="4.5703125" style="1" customWidth="1"/>
    <col min="4" max="4" width="7" style="1" customWidth="1"/>
    <col min="5" max="5" width="6.42578125" style="1" customWidth="1"/>
    <col min="6" max="6" width="9.7109375" style="1" customWidth="1"/>
    <col min="7" max="7" width="10.140625" style="1" customWidth="1"/>
    <col min="8" max="8" width="0.42578125" style="1" customWidth="1"/>
    <col min="9" max="9" width="8.28515625" style="1" customWidth="1"/>
    <col min="10" max="10" width="6.140625" style="1" customWidth="1"/>
    <col min="11" max="11" width="5.7109375" style="1" customWidth="1"/>
    <col min="12" max="12" width="7.42578125" style="1" customWidth="1"/>
    <col min="13" max="13" width="3.7109375" style="1" customWidth="1"/>
    <col min="14" max="14" width="5.7109375" style="1" customWidth="1"/>
    <col min="15" max="15" width="3.140625" style="1" customWidth="1"/>
    <col min="16" max="16" width="5" style="1" customWidth="1"/>
    <col min="17" max="18" width="5.28515625" style="1" customWidth="1"/>
    <col min="19" max="19" width="3.42578125" style="1" customWidth="1"/>
    <col min="20" max="20" width="4.7109375" style="1" customWidth="1"/>
    <col min="21" max="21" width="4.140625" style="1" customWidth="1"/>
    <col min="22" max="22" width="6" style="1" customWidth="1"/>
    <col min="23" max="23" width="4.140625" style="1" customWidth="1"/>
    <col min="24" max="24" width="5.7109375" style="1" customWidth="1"/>
    <col min="25" max="25" width="4.28515625" style="1" customWidth="1"/>
    <col min="26" max="26" width="6.5703125" style="1" customWidth="1"/>
    <col min="27" max="32" width="7.5703125" style="1" customWidth="1"/>
    <col min="33" max="33" width="5.7109375" style="1" customWidth="1"/>
    <col min="34" max="34" width="6.28515625" style="1" customWidth="1"/>
    <col min="35" max="35" width="6.7109375" style="1" customWidth="1"/>
    <col min="36" max="36" width="6.85546875" style="1" customWidth="1"/>
    <col min="37" max="37" width="5.5703125" style="1" customWidth="1"/>
    <col min="38" max="38" width="6.85546875" style="1" customWidth="1"/>
    <col min="39" max="39" width="7.5703125" style="1" customWidth="1"/>
    <col min="40" max="40" width="10.42578125" style="1" customWidth="1"/>
    <col min="41" max="41" width="7.7109375" style="1" customWidth="1"/>
    <col min="42" max="42" width="6.7109375" style="1" customWidth="1"/>
    <col min="43" max="16384" width="13" style="1"/>
  </cols>
  <sheetData>
    <row r="1" spans="1:49" ht="14.25" customHeight="1" x14ac:dyDescent="0.2">
      <c r="AA1" s="56" t="s">
        <v>0</v>
      </c>
      <c r="AB1" s="56"/>
      <c r="AC1" s="56"/>
      <c r="AD1" s="56"/>
      <c r="AE1" s="56"/>
      <c r="AF1" s="56"/>
      <c r="AG1" s="56"/>
      <c r="AH1" s="56"/>
      <c r="AI1" s="56"/>
      <c r="AJ1" s="56"/>
      <c r="AK1" s="56"/>
      <c r="AL1" s="56"/>
      <c r="AM1" s="56"/>
      <c r="AN1" s="56"/>
    </row>
    <row r="2" spans="1:49" ht="18" customHeight="1" x14ac:dyDescent="0.2">
      <c r="W2" s="466"/>
      <c r="X2" s="466"/>
      <c r="Y2" s="466"/>
      <c r="Z2" s="466"/>
      <c r="AA2" s="466"/>
    </row>
    <row r="3" spans="1:49" ht="55.5" customHeight="1" x14ac:dyDescent="0.2">
      <c r="A3" s="468" t="s">
        <v>33</v>
      </c>
      <c r="B3" s="468"/>
      <c r="C3" s="468"/>
      <c r="D3" s="468"/>
      <c r="E3" s="468"/>
      <c r="F3" s="468"/>
      <c r="G3" s="468"/>
      <c r="H3" s="468"/>
      <c r="I3" s="468"/>
      <c r="J3" s="468"/>
      <c r="K3" s="468"/>
      <c r="L3" s="468"/>
      <c r="M3" s="468"/>
      <c r="N3" s="468"/>
      <c r="O3" s="468"/>
      <c r="P3" s="468"/>
      <c r="Q3" s="468"/>
      <c r="R3" s="468"/>
      <c r="S3" s="468"/>
      <c r="T3" s="468"/>
      <c r="U3" s="468"/>
      <c r="V3" s="468"/>
      <c r="W3" s="468"/>
      <c r="X3" s="468"/>
      <c r="Y3" s="468"/>
      <c r="Z3" s="468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</row>
    <row r="4" spans="1:49" ht="6" customHeight="1" thickBo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</row>
    <row r="5" spans="1:49" ht="30" customHeight="1" x14ac:dyDescent="0.2">
      <c r="A5" s="4"/>
      <c r="B5" s="5"/>
      <c r="C5" s="454" t="s">
        <v>1</v>
      </c>
      <c r="D5" s="467"/>
      <c r="E5" s="467"/>
      <c r="F5" s="467"/>
      <c r="G5" s="467"/>
      <c r="H5" s="455"/>
      <c r="I5" s="541" t="s">
        <v>56</v>
      </c>
      <c r="J5" s="542"/>
      <c r="K5" s="542"/>
      <c r="L5" s="543"/>
      <c r="M5" s="454" t="s">
        <v>2</v>
      </c>
      <c r="N5" s="455"/>
      <c r="O5" s="454" t="s">
        <v>2</v>
      </c>
      <c r="P5" s="455"/>
      <c r="Q5" s="456" t="s">
        <v>2</v>
      </c>
      <c r="R5" s="456"/>
      <c r="S5" s="456" t="s">
        <v>2</v>
      </c>
      <c r="T5" s="456"/>
      <c r="U5" s="454" t="s">
        <v>2</v>
      </c>
      <c r="V5" s="467"/>
      <c r="W5" s="456" t="s">
        <v>2</v>
      </c>
      <c r="X5" s="456"/>
      <c r="Y5" s="456" t="s">
        <v>2</v>
      </c>
      <c r="Z5" s="454"/>
      <c r="AA5" s="551" t="s">
        <v>3</v>
      </c>
      <c r="AB5" s="538" t="str">
        <f>'бр. деца'!AF5</f>
        <v>100% от средствата</v>
      </c>
      <c r="AC5" s="538"/>
      <c r="AD5" s="538" t="str">
        <f>'бр. деца'!AH5</f>
        <v>100% от средствата</v>
      </c>
      <c r="AE5" s="538"/>
      <c r="AF5" s="538" t="str">
        <f>'бр. деца'!AJ5</f>
        <v>Всичко средства по държавна  дейност 338</v>
      </c>
      <c r="AG5" s="538" t="str">
        <f>'бр. деца'!AK5</f>
        <v>100% от средствата</v>
      </c>
      <c r="AH5" s="538"/>
      <c r="AI5" s="538"/>
      <c r="AJ5" s="538"/>
      <c r="AK5" s="538"/>
      <c r="AL5" s="538"/>
      <c r="AM5" s="538" t="str">
        <f>'бр. деца'!AQ5</f>
        <v>Всичко средства по държавна  дейност 389</v>
      </c>
      <c r="AN5" s="538" t="str">
        <f>'бр. деца'!AR5</f>
        <v>Всичко за училището</v>
      </c>
      <c r="AO5" s="512" t="s">
        <v>38</v>
      </c>
      <c r="AP5" s="6"/>
    </row>
    <row r="6" spans="1:49" ht="30.75" customHeight="1" x14ac:dyDescent="0.2">
      <c r="A6" s="482" t="s">
        <v>4</v>
      </c>
      <c r="B6" s="491" t="s">
        <v>5</v>
      </c>
      <c r="C6" s="521" t="s">
        <v>31</v>
      </c>
      <c r="D6" s="531"/>
      <c r="E6" s="533" t="s">
        <v>32</v>
      </c>
      <c r="F6" s="492" t="s">
        <v>6</v>
      </c>
      <c r="G6" s="494" t="s">
        <v>7</v>
      </c>
      <c r="H6" s="530" t="s">
        <v>7</v>
      </c>
      <c r="I6" s="118"/>
      <c r="J6" s="118"/>
      <c r="K6" s="197" t="s">
        <v>55</v>
      </c>
      <c r="L6" s="123"/>
      <c r="M6" s="515" t="s">
        <v>8</v>
      </c>
      <c r="N6" s="516"/>
      <c r="O6" s="515" t="s">
        <v>9</v>
      </c>
      <c r="P6" s="516"/>
      <c r="Q6" s="515" t="s">
        <v>10</v>
      </c>
      <c r="R6" s="516"/>
      <c r="S6" s="515" t="s">
        <v>35</v>
      </c>
      <c r="T6" s="516"/>
      <c r="U6" s="521" t="s">
        <v>11</v>
      </c>
      <c r="V6" s="522"/>
      <c r="W6" s="515" t="s">
        <v>12</v>
      </c>
      <c r="X6" s="516"/>
      <c r="Y6" s="515" t="s">
        <v>13</v>
      </c>
      <c r="Z6" s="519"/>
      <c r="AA6" s="552"/>
      <c r="AB6" s="538" t="str">
        <f>'бр. деца'!AF6</f>
        <v>Норматив за създаване на условия за приобщ. Обр.</v>
      </c>
      <c r="AC6" s="538"/>
      <c r="AD6" s="538" t="e">
        <f>'бр. деца'!AH6</f>
        <v>#REF!</v>
      </c>
      <c r="AE6" s="538"/>
      <c r="AF6" s="538"/>
      <c r="AG6" s="538" t="str">
        <f>'бр. деца'!AK6</f>
        <v>допълващ стандарт за поддръжка на автобуси</v>
      </c>
      <c r="AH6" s="538"/>
      <c r="AI6" s="538"/>
      <c r="AJ6" s="538"/>
      <c r="AK6" s="538"/>
      <c r="AL6" s="538"/>
      <c r="AM6" s="538"/>
      <c r="AN6" s="538"/>
      <c r="AO6" s="512"/>
      <c r="AP6" s="6"/>
    </row>
    <row r="7" spans="1:49" ht="51" customHeight="1" x14ac:dyDescent="0.2">
      <c r="A7" s="482"/>
      <c r="B7" s="491"/>
      <c r="C7" s="523"/>
      <c r="D7" s="532"/>
      <c r="E7" s="534"/>
      <c r="F7" s="493"/>
      <c r="G7" s="494"/>
      <c r="H7" s="530"/>
      <c r="I7" s="119" t="s">
        <v>42</v>
      </c>
      <c r="J7" s="120" t="s">
        <v>38</v>
      </c>
      <c r="K7" s="120" t="s">
        <v>57</v>
      </c>
      <c r="L7" s="528" t="s">
        <v>41</v>
      </c>
      <c r="M7" s="517"/>
      <c r="N7" s="518"/>
      <c r="O7" s="517"/>
      <c r="P7" s="518"/>
      <c r="Q7" s="517"/>
      <c r="R7" s="518"/>
      <c r="S7" s="517"/>
      <c r="T7" s="518"/>
      <c r="U7" s="523"/>
      <c r="V7" s="524"/>
      <c r="W7" s="517"/>
      <c r="X7" s="518"/>
      <c r="Y7" s="517"/>
      <c r="Z7" s="520"/>
      <c r="AA7" s="552"/>
      <c r="AB7" s="538"/>
      <c r="AC7" s="538"/>
      <c r="AD7" s="538"/>
      <c r="AE7" s="538"/>
      <c r="AF7" s="538"/>
      <c r="AG7" s="538" t="str">
        <f>'бр. деца'!AK7</f>
        <v>11÷15 м</v>
      </c>
      <c r="AH7" s="538"/>
      <c r="AI7" s="538" t="str">
        <f>'бр. деца'!AM7</f>
        <v xml:space="preserve"> 26÷29 м</v>
      </c>
      <c r="AJ7" s="538"/>
      <c r="AK7" s="538" t="str">
        <f>'бр. деца'!AO7</f>
        <v>над 30 м</v>
      </c>
      <c r="AL7" s="538"/>
      <c r="AM7" s="538"/>
      <c r="AN7" s="538"/>
      <c r="AO7" s="512"/>
      <c r="AP7" s="6"/>
      <c r="AR7" s="9"/>
      <c r="AS7" s="506"/>
      <c r="AT7" s="506"/>
      <c r="AU7" s="10"/>
      <c r="AV7" s="9"/>
      <c r="AW7" s="9"/>
    </row>
    <row r="8" spans="1:49" ht="76.5" customHeight="1" x14ac:dyDescent="0.2">
      <c r="A8" s="482"/>
      <c r="B8" s="491"/>
      <c r="C8" s="133" t="s">
        <v>14</v>
      </c>
      <c r="D8" s="134">
        <v>1611</v>
      </c>
      <c r="E8" s="535"/>
      <c r="F8" s="135">
        <v>4708935</v>
      </c>
      <c r="G8" s="494"/>
      <c r="H8" s="530"/>
      <c r="I8" s="115"/>
      <c r="J8" s="121"/>
      <c r="K8" s="121">
        <v>6278.53</v>
      </c>
      <c r="L8" s="529"/>
      <c r="M8" s="125" t="s">
        <v>14</v>
      </c>
      <c r="N8" s="126">
        <v>373</v>
      </c>
      <c r="O8" s="125" t="s">
        <v>14</v>
      </c>
      <c r="P8" s="127">
        <v>3070</v>
      </c>
      <c r="Q8" s="125" t="s">
        <v>14</v>
      </c>
      <c r="R8" s="127">
        <v>25</v>
      </c>
      <c r="S8" s="125" t="s">
        <v>14</v>
      </c>
      <c r="T8" s="127">
        <v>862</v>
      </c>
      <c r="U8" s="125" t="s">
        <v>14</v>
      </c>
      <c r="V8" s="125">
        <v>87</v>
      </c>
      <c r="W8" s="125" t="s">
        <v>14</v>
      </c>
      <c r="X8" s="127">
        <v>72</v>
      </c>
      <c r="Y8" s="125" t="s">
        <v>14</v>
      </c>
      <c r="Z8" s="128">
        <v>580</v>
      </c>
      <c r="AA8" s="553"/>
      <c r="AB8" s="14" t="str">
        <f>'бр. деца'!AF9</f>
        <v>брой ученици</v>
      </c>
      <c r="AC8" s="14">
        <f>'бр. деца'!AG9</f>
        <v>326</v>
      </c>
      <c r="AD8" s="14" t="e">
        <f>'бр. деца'!AH9</f>
        <v>#REF!</v>
      </c>
      <c r="AE8" s="14" t="e">
        <f>'бр. деца'!AI9</f>
        <v>#REF!</v>
      </c>
      <c r="AF8" s="538"/>
      <c r="AG8" s="14" t="str">
        <f>'бр. деца'!AK9</f>
        <v>бр. авт</v>
      </c>
      <c r="AH8" s="14">
        <f>'бр. деца'!AL9</f>
        <v>3000</v>
      </c>
      <c r="AI8" s="14" t="str">
        <f>'бр. деца'!AM9</f>
        <v>бр. авт</v>
      </c>
      <c r="AJ8" s="14">
        <f>'бр. деца'!AN9</f>
        <v>5000</v>
      </c>
      <c r="AK8" s="14" t="str">
        <f>'бр. деца'!AO9</f>
        <v>бр. авт</v>
      </c>
      <c r="AL8" s="14">
        <f>'бр. деца'!AP9</f>
        <v>6000</v>
      </c>
      <c r="AM8" s="538"/>
      <c r="AN8" s="538"/>
      <c r="AO8" s="512"/>
      <c r="AP8" s="15"/>
      <c r="AR8" s="9"/>
      <c r="AS8" s="506"/>
      <c r="AT8" s="506"/>
      <c r="AU8" s="16"/>
      <c r="AV8" s="9"/>
      <c r="AW8" s="9"/>
    </row>
    <row r="9" spans="1:49" ht="27" customHeight="1" x14ac:dyDescent="0.2">
      <c r="A9" s="80">
        <v>1</v>
      </c>
      <c r="B9" s="130" t="s">
        <v>15</v>
      </c>
      <c r="C9" s="82">
        <v>320</v>
      </c>
      <c r="D9" s="83">
        <f>$D$8*C9</f>
        <v>515520</v>
      </c>
      <c r="E9" s="83">
        <v>29000</v>
      </c>
      <c r="F9" s="84">
        <f t="shared" ref="F9:F17" si="0">$F$8*C9/$C$18</f>
        <v>488447.06645056728</v>
      </c>
      <c r="G9" s="85">
        <f>F9+E9</f>
        <v>517447.06645056728</v>
      </c>
      <c r="H9" s="83">
        <f>G9</f>
        <v>517447.06645056728</v>
      </c>
      <c r="I9" s="116">
        <f>F9-F9*0.4%</f>
        <v>486493.27818476502</v>
      </c>
      <c r="J9" s="129">
        <f>F9*0.4%</f>
        <v>1953.7882658022691</v>
      </c>
      <c r="K9" s="129">
        <v>0</v>
      </c>
      <c r="L9" s="129">
        <f t="shared" ref="L9:L18" si="1">SUM(I9,K9)</f>
        <v>486493.27818476502</v>
      </c>
      <c r="M9" s="82">
        <v>3</v>
      </c>
      <c r="N9" s="83">
        <f t="shared" ref="N9:N17" si="2">M9*$N$8</f>
        <v>1119</v>
      </c>
      <c r="O9" s="83">
        <v>1</v>
      </c>
      <c r="P9" s="83">
        <f t="shared" ref="P9:P17" si="3">O9*$P$8</f>
        <v>3070</v>
      </c>
      <c r="Q9" s="82">
        <f t="shared" ref="Q9:Q17" si="4">C9</f>
        <v>320</v>
      </c>
      <c r="R9" s="83">
        <f t="shared" ref="R9:R17" si="5">Q9*$R$8</f>
        <v>8000</v>
      </c>
      <c r="S9" s="83"/>
      <c r="T9" s="83">
        <f t="shared" ref="T9:T17" si="6">S9*$T$8</f>
        <v>0</v>
      </c>
      <c r="U9" s="87">
        <v>215</v>
      </c>
      <c r="V9" s="87">
        <f t="shared" ref="V9:V17" si="7">U9*$V$8</f>
        <v>18705</v>
      </c>
      <c r="W9" s="88"/>
      <c r="X9" s="89"/>
      <c r="Y9" s="83"/>
      <c r="Z9" s="90">
        <f t="shared" ref="Z9:Z17" si="8">Y9*$Z$8</f>
        <v>0</v>
      </c>
      <c r="AA9" s="172">
        <f>L9+E9+N9+P9+R9+V9+X9+Z9+T9</f>
        <v>546387.27818476502</v>
      </c>
      <c r="AB9" s="174">
        <f>'бр. деца'!AF10</f>
        <v>1</v>
      </c>
      <c r="AC9" s="174">
        <f>'бр. деца'!AG10</f>
        <v>326</v>
      </c>
      <c r="AD9" s="174" t="e">
        <f>'бр. деца'!AH10</f>
        <v>#REF!</v>
      </c>
      <c r="AE9" s="174" t="e">
        <f>'бр. деца'!AI10</f>
        <v>#REF!</v>
      </c>
      <c r="AF9" s="174">
        <f>'бр. деца'!AJ10</f>
        <v>359</v>
      </c>
      <c r="AG9" s="174">
        <f>'бр. деца'!AK10</f>
        <v>0</v>
      </c>
      <c r="AH9" s="174">
        <f>'бр. деца'!AL10</f>
        <v>0</v>
      </c>
      <c r="AI9" s="174">
        <f>'бр. деца'!AM10</f>
        <v>0</v>
      </c>
      <c r="AJ9" s="174">
        <f>'бр. деца'!AN10</f>
        <v>0</v>
      </c>
      <c r="AK9" s="174">
        <f>'бр. деца'!AO10</f>
        <v>0</v>
      </c>
      <c r="AL9" s="174">
        <f>'бр. деца'!AP10</f>
        <v>0</v>
      </c>
      <c r="AM9" s="174">
        <f>'бр. деца'!AQ10</f>
        <v>0</v>
      </c>
      <c r="AN9" s="174">
        <f>'бр. деца'!AR10</f>
        <v>584275.64627659577</v>
      </c>
      <c r="AO9" s="27">
        <f t="shared" ref="AO9:AO18" si="9">K9-J9</f>
        <v>-1953.7882658022691</v>
      </c>
      <c r="AP9" s="28"/>
      <c r="AR9" s="9"/>
      <c r="AS9" s="29"/>
      <c r="AT9" s="30"/>
      <c r="AU9" s="16"/>
      <c r="AV9" s="9"/>
      <c r="AW9" s="16"/>
    </row>
    <row r="10" spans="1:49" ht="25.5" customHeight="1" x14ac:dyDescent="0.2">
      <c r="A10" s="31">
        <v>2</v>
      </c>
      <c r="B10" s="131" t="s">
        <v>16</v>
      </c>
      <c r="C10" s="19">
        <v>416</v>
      </c>
      <c r="D10" s="20">
        <f t="shared" ref="D10:D19" si="10">$D$8*C10</f>
        <v>670176</v>
      </c>
      <c r="E10" s="20">
        <v>29000</v>
      </c>
      <c r="F10" s="21">
        <f t="shared" si="0"/>
        <v>634981.18638573738</v>
      </c>
      <c r="G10" s="22">
        <f t="shared" ref="G10:G17" si="11">F10+E10</f>
        <v>663981.18638573738</v>
      </c>
      <c r="H10" s="20">
        <f t="shared" ref="H10:H17" si="12">G10</f>
        <v>663981.18638573738</v>
      </c>
      <c r="I10" s="116">
        <f t="shared" ref="I10:I17" si="13">F10-F10*0.4%</f>
        <v>632441.26164019445</v>
      </c>
      <c r="J10" s="129">
        <f t="shared" ref="J10:J17" si="14">F10*0.4%</f>
        <v>2539.9247455429495</v>
      </c>
      <c r="K10" s="129">
        <v>0</v>
      </c>
      <c r="L10" s="129">
        <f t="shared" si="1"/>
        <v>632441.26164019445</v>
      </c>
      <c r="M10" s="19">
        <v>3</v>
      </c>
      <c r="N10" s="20">
        <f t="shared" si="2"/>
        <v>1119</v>
      </c>
      <c r="O10" s="23"/>
      <c r="P10" s="20">
        <f t="shared" si="3"/>
        <v>0</v>
      </c>
      <c r="Q10" s="19">
        <f t="shared" si="4"/>
        <v>416</v>
      </c>
      <c r="R10" s="20">
        <f t="shared" si="5"/>
        <v>10400</v>
      </c>
      <c r="S10" s="20"/>
      <c r="T10" s="20">
        <f t="shared" si="6"/>
        <v>0</v>
      </c>
      <c r="U10" s="24">
        <v>213</v>
      </c>
      <c r="V10" s="24">
        <f t="shared" si="7"/>
        <v>18531</v>
      </c>
      <c r="W10" s="25"/>
      <c r="X10" s="26"/>
      <c r="Y10" s="20"/>
      <c r="Z10" s="78">
        <f t="shared" si="8"/>
        <v>0</v>
      </c>
      <c r="AA10" s="172">
        <f t="shared" ref="AA10:AA19" si="15">L10+E10+N10+P10+R10+V10+X10+Z10+T10</f>
        <v>691491.26164019445</v>
      </c>
      <c r="AB10" s="170">
        <f>'бр. деца'!AF11</f>
        <v>0</v>
      </c>
      <c r="AC10" s="170">
        <f>'бр. деца'!AG11</f>
        <v>0</v>
      </c>
      <c r="AD10" s="170" t="e">
        <f>'бр. деца'!AH11</f>
        <v>#REF!</v>
      </c>
      <c r="AE10" s="170" t="e">
        <f>'бр. деца'!AI11</f>
        <v>#REF!</v>
      </c>
      <c r="AF10" s="170">
        <f>'бр. деца'!AJ11</f>
        <v>0</v>
      </c>
      <c r="AG10" s="170">
        <f>'бр. деца'!AK11</f>
        <v>0</v>
      </c>
      <c r="AH10" s="170">
        <f>'бр. деца'!AL11</f>
        <v>0</v>
      </c>
      <c r="AI10" s="170">
        <f>'бр. деца'!AM11</f>
        <v>0</v>
      </c>
      <c r="AJ10" s="170">
        <f>'бр. деца'!AN11</f>
        <v>0</v>
      </c>
      <c r="AK10" s="170">
        <f>'бр. деца'!AO11</f>
        <v>0</v>
      </c>
      <c r="AL10" s="170">
        <f>'бр. деца'!AP11</f>
        <v>0</v>
      </c>
      <c r="AM10" s="170">
        <f>'бр. деца'!AQ11</f>
        <v>0</v>
      </c>
      <c r="AN10" s="170">
        <f>'бр. деца'!AR11</f>
        <v>780850.32978723408</v>
      </c>
      <c r="AO10" s="27">
        <f t="shared" si="9"/>
        <v>-2539.9247455429495</v>
      </c>
      <c r="AP10" s="28"/>
      <c r="AR10" s="9"/>
      <c r="AS10" s="29"/>
      <c r="AT10" s="30"/>
      <c r="AU10" s="16"/>
      <c r="AV10" s="9"/>
      <c r="AW10" s="16"/>
    </row>
    <row r="11" spans="1:49" ht="29.25" customHeight="1" x14ac:dyDescent="0.2">
      <c r="A11" s="92">
        <v>3</v>
      </c>
      <c r="B11" s="130" t="s">
        <v>17</v>
      </c>
      <c r="C11" s="82">
        <v>559</v>
      </c>
      <c r="D11" s="83">
        <f t="shared" si="10"/>
        <v>900549</v>
      </c>
      <c r="E11" s="83">
        <v>29000</v>
      </c>
      <c r="F11" s="84">
        <f t="shared" si="0"/>
        <v>853255.96920583467</v>
      </c>
      <c r="G11" s="85">
        <f t="shared" si="11"/>
        <v>882255.96920583467</v>
      </c>
      <c r="H11" s="83">
        <f t="shared" si="12"/>
        <v>882255.96920583467</v>
      </c>
      <c r="I11" s="116">
        <f t="shared" si="13"/>
        <v>849842.9453290113</v>
      </c>
      <c r="J11" s="129">
        <f t="shared" si="14"/>
        <v>3413.0238768233389</v>
      </c>
      <c r="K11" s="129">
        <v>0</v>
      </c>
      <c r="L11" s="129">
        <f t="shared" si="1"/>
        <v>849842.9453290113</v>
      </c>
      <c r="M11" s="82">
        <v>15</v>
      </c>
      <c r="N11" s="83">
        <f t="shared" si="2"/>
        <v>5595</v>
      </c>
      <c r="O11" s="83"/>
      <c r="P11" s="83">
        <f t="shared" si="3"/>
        <v>0</v>
      </c>
      <c r="Q11" s="82">
        <f t="shared" si="4"/>
        <v>559</v>
      </c>
      <c r="R11" s="83">
        <f t="shared" si="5"/>
        <v>13975</v>
      </c>
      <c r="S11" s="83">
        <v>1</v>
      </c>
      <c r="T11" s="83">
        <f t="shared" si="6"/>
        <v>862</v>
      </c>
      <c r="U11" s="87">
        <v>97</v>
      </c>
      <c r="V11" s="87">
        <f t="shared" si="7"/>
        <v>8439</v>
      </c>
      <c r="W11" s="93">
        <v>283</v>
      </c>
      <c r="X11" s="83">
        <f t="shared" ref="X11:X17" si="16">W11*$X$8</f>
        <v>20376</v>
      </c>
      <c r="Y11" s="83">
        <v>348</v>
      </c>
      <c r="Z11" s="90">
        <f t="shared" si="8"/>
        <v>201840</v>
      </c>
      <c r="AA11" s="172">
        <f t="shared" si="15"/>
        <v>1129929.9453290114</v>
      </c>
      <c r="AB11" s="174">
        <f>'бр. деца'!AF12</f>
        <v>36</v>
      </c>
      <c r="AC11" s="174">
        <f>'бр. деца'!AG12</f>
        <v>11736</v>
      </c>
      <c r="AD11" s="174" t="e">
        <f>'бр. деца'!AH12</f>
        <v>#REF!</v>
      </c>
      <c r="AE11" s="174" t="e">
        <f>'бр. деца'!AI12</f>
        <v>#REF!</v>
      </c>
      <c r="AF11" s="174">
        <f>'бр. деца'!AJ12</f>
        <v>93555</v>
      </c>
      <c r="AG11" s="174">
        <f>'бр. деца'!AK12</f>
        <v>0</v>
      </c>
      <c r="AH11" s="174">
        <f>'бр. деца'!AL12</f>
        <v>0</v>
      </c>
      <c r="AI11" s="174">
        <f>'бр. деца'!AM12</f>
        <v>1</v>
      </c>
      <c r="AJ11" s="174">
        <f>'бр. деца'!AN12</f>
        <v>5000</v>
      </c>
      <c r="AK11" s="174">
        <f>'бр. деца'!AO12</f>
        <v>0</v>
      </c>
      <c r="AL11" s="174">
        <f>'бр. деца'!AP12</f>
        <v>0</v>
      </c>
      <c r="AM11" s="174">
        <f>'бр. деца'!AQ12</f>
        <v>5000</v>
      </c>
      <c r="AN11" s="174">
        <f>'бр. деца'!AR12</f>
        <v>1333227.0531914893</v>
      </c>
      <c r="AO11" s="27">
        <f t="shared" si="9"/>
        <v>-3413.0238768233389</v>
      </c>
      <c r="AP11" s="28"/>
      <c r="AR11" s="9"/>
      <c r="AS11" s="29"/>
      <c r="AT11" s="30"/>
      <c r="AU11" s="16"/>
      <c r="AV11" s="9"/>
      <c r="AW11" s="16"/>
    </row>
    <row r="12" spans="1:49" ht="25.5" customHeight="1" x14ac:dyDescent="0.2">
      <c r="A12" s="17">
        <v>4</v>
      </c>
      <c r="B12" s="131" t="s">
        <v>18</v>
      </c>
      <c r="C12" s="19">
        <v>428</v>
      </c>
      <c r="D12" s="20">
        <f t="shared" si="10"/>
        <v>689508</v>
      </c>
      <c r="E12" s="20">
        <v>29000</v>
      </c>
      <c r="F12" s="21">
        <f t="shared" si="0"/>
        <v>653297.95137763373</v>
      </c>
      <c r="G12" s="22">
        <f t="shared" si="11"/>
        <v>682297.95137763373</v>
      </c>
      <c r="H12" s="20">
        <f t="shared" si="12"/>
        <v>682297.95137763373</v>
      </c>
      <c r="I12" s="116">
        <f t="shared" si="13"/>
        <v>650684.75957212318</v>
      </c>
      <c r="J12" s="129">
        <f t="shared" si="14"/>
        <v>2613.1918055105348</v>
      </c>
      <c r="K12" s="129">
        <v>0</v>
      </c>
      <c r="L12" s="129">
        <f t="shared" si="1"/>
        <v>650684.75957212318</v>
      </c>
      <c r="M12" s="19"/>
      <c r="N12" s="20">
        <f t="shared" si="2"/>
        <v>0</v>
      </c>
      <c r="O12" s="20">
        <v>1</v>
      </c>
      <c r="P12" s="20">
        <f t="shared" si="3"/>
        <v>3070</v>
      </c>
      <c r="Q12" s="19">
        <f t="shared" si="4"/>
        <v>428</v>
      </c>
      <c r="R12" s="20">
        <f t="shared" si="5"/>
        <v>10700</v>
      </c>
      <c r="S12" s="20"/>
      <c r="T12" s="20">
        <f t="shared" si="6"/>
        <v>0</v>
      </c>
      <c r="U12" s="24"/>
      <c r="V12" s="24">
        <f t="shared" si="7"/>
        <v>0</v>
      </c>
      <c r="W12" s="32">
        <v>229</v>
      </c>
      <c r="X12" s="20">
        <f t="shared" si="16"/>
        <v>16488</v>
      </c>
      <c r="Y12" s="20">
        <v>246</v>
      </c>
      <c r="Z12" s="78">
        <f t="shared" si="8"/>
        <v>142680</v>
      </c>
      <c r="AA12" s="172">
        <f t="shared" si="15"/>
        <v>852622.75957212318</v>
      </c>
      <c r="AB12" s="170">
        <f>'бр. деца'!AF13</f>
        <v>15</v>
      </c>
      <c r="AC12" s="170">
        <f>'бр. деца'!AG13</f>
        <v>4890</v>
      </c>
      <c r="AD12" s="170" t="e">
        <f>'бр. деца'!AH13</f>
        <v>#REF!</v>
      </c>
      <c r="AE12" s="170" t="e">
        <f>'бр. деца'!AI13</f>
        <v>#REF!</v>
      </c>
      <c r="AF12" s="170">
        <f>'бр. деца'!AJ13</f>
        <v>42525</v>
      </c>
      <c r="AG12" s="170">
        <f>'бр. деца'!AK13</f>
        <v>1</v>
      </c>
      <c r="AH12" s="170">
        <f>'бр. деца'!AL13</f>
        <v>3000</v>
      </c>
      <c r="AI12" s="170">
        <f>'бр. деца'!AM13</f>
        <v>0</v>
      </c>
      <c r="AJ12" s="170">
        <f>'бр. деца'!AN13</f>
        <v>0</v>
      </c>
      <c r="AK12" s="170">
        <f>'бр. деца'!AO13</f>
        <v>0</v>
      </c>
      <c r="AL12" s="170">
        <f>'бр. деца'!AP13</f>
        <v>0</v>
      </c>
      <c r="AM12" s="170">
        <f>'бр. деца'!AQ13</f>
        <v>3000</v>
      </c>
      <c r="AN12" s="170">
        <f>'бр. деца'!AR13</f>
        <v>936926.02393617027</v>
      </c>
      <c r="AO12" s="27">
        <f t="shared" si="9"/>
        <v>-2613.1918055105348</v>
      </c>
      <c r="AP12" s="28"/>
      <c r="AR12" s="16"/>
      <c r="AS12" s="16"/>
      <c r="AT12" s="30"/>
      <c r="AU12" s="16"/>
      <c r="AV12" s="16"/>
      <c r="AW12" s="16"/>
    </row>
    <row r="13" spans="1:49" ht="33.950000000000003" customHeight="1" x14ac:dyDescent="0.2">
      <c r="A13" s="80">
        <v>5</v>
      </c>
      <c r="B13" s="132" t="s">
        <v>19</v>
      </c>
      <c r="C13" s="87">
        <v>444</v>
      </c>
      <c r="D13" s="83">
        <f t="shared" si="10"/>
        <v>715284</v>
      </c>
      <c r="E13" s="83">
        <v>29000</v>
      </c>
      <c r="F13" s="84">
        <f t="shared" si="0"/>
        <v>677720.30470016203</v>
      </c>
      <c r="G13" s="84">
        <f t="shared" si="11"/>
        <v>706720.30470016203</v>
      </c>
      <c r="H13" s="83">
        <f t="shared" si="12"/>
        <v>706720.30470016203</v>
      </c>
      <c r="I13" s="116">
        <f t="shared" si="13"/>
        <v>675009.42348136136</v>
      </c>
      <c r="J13" s="129">
        <f t="shared" si="14"/>
        <v>2710.8812188006482</v>
      </c>
      <c r="K13" s="129">
        <v>0</v>
      </c>
      <c r="L13" s="129">
        <f t="shared" si="1"/>
        <v>675009.42348136136</v>
      </c>
      <c r="M13" s="87"/>
      <c r="N13" s="88">
        <f t="shared" si="2"/>
        <v>0</v>
      </c>
      <c r="O13" s="88"/>
      <c r="P13" s="83">
        <f t="shared" si="3"/>
        <v>0</v>
      </c>
      <c r="Q13" s="87">
        <f t="shared" si="4"/>
        <v>444</v>
      </c>
      <c r="R13" s="88">
        <f t="shared" si="5"/>
        <v>11100</v>
      </c>
      <c r="S13" s="88">
        <v>3</v>
      </c>
      <c r="T13" s="83">
        <f t="shared" si="6"/>
        <v>2586</v>
      </c>
      <c r="U13" s="95"/>
      <c r="V13" s="87">
        <f t="shared" si="7"/>
        <v>0</v>
      </c>
      <c r="W13" s="93">
        <v>258</v>
      </c>
      <c r="X13" s="88">
        <f t="shared" si="16"/>
        <v>18576</v>
      </c>
      <c r="Y13" s="88">
        <v>335</v>
      </c>
      <c r="Z13" s="90">
        <f t="shared" si="8"/>
        <v>194300</v>
      </c>
      <c r="AA13" s="172">
        <f t="shared" si="15"/>
        <v>930571.42348136136</v>
      </c>
      <c r="AB13" s="174">
        <f>'бр. деца'!AF14</f>
        <v>28</v>
      </c>
      <c r="AC13" s="174">
        <f>'бр. деца'!AG14</f>
        <v>9128</v>
      </c>
      <c r="AD13" s="174" t="e">
        <f>'бр. деца'!AH14</f>
        <v>#REF!</v>
      </c>
      <c r="AE13" s="174" t="e">
        <f>'бр. деца'!AI14</f>
        <v>#REF!</v>
      </c>
      <c r="AF13" s="174">
        <f>'бр. деца'!AJ14</f>
        <v>70875</v>
      </c>
      <c r="AG13" s="174">
        <f>'бр. деца'!AK14</f>
        <v>0</v>
      </c>
      <c r="AH13" s="174">
        <f>'бр. деца'!AL14</f>
        <v>0</v>
      </c>
      <c r="AI13" s="174">
        <f>'бр. деца'!AM14</f>
        <v>0</v>
      </c>
      <c r="AJ13" s="174">
        <f>'бр. деца'!AN14</f>
        <v>0</v>
      </c>
      <c r="AK13" s="174">
        <f>'бр. деца'!AO14</f>
        <v>1</v>
      </c>
      <c r="AL13" s="174">
        <f>'бр. деца'!AP14</f>
        <v>6000</v>
      </c>
      <c r="AM13" s="174">
        <f>'бр. деца'!AQ14</f>
        <v>6000</v>
      </c>
      <c r="AN13" s="174">
        <f>'бр. деца'!AR14</f>
        <v>1010821.710106383</v>
      </c>
      <c r="AO13" s="27">
        <f t="shared" si="9"/>
        <v>-2710.8812188006482</v>
      </c>
      <c r="AP13" s="28"/>
      <c r="AR13" s="9"/>
      <c r="AS13" s="9"/>
      <c r="AT13" s="9"/>
      <c r="AU13" s="16"/>
      <c r="AV13" s="9"/>
      <c r="AW13" s="9"/>
    </row>
    <row r="14" spans="1:49" ht="25.5" customHeight="1" x14ac:dyDescent="0.2">
      <c r="A14" s="31">
        <v>6</v>
      </c>
      <c r="B14" s="131" t="s">
        <v>20</v>
      </c>
      <c r="C14" s="19">
        <v>631</v>
      </c>
      <c r="D14" s="20">
        <f t="shared" si="10"/>
        <v>1016541</v>
      </c>
      <c r="E14" s="20">
        <v>29000</v>
      </c>
      <c r="F14" s="21">
        <f t="shared" si="0"/>
        <v>963156.55915721226</v>
      </c>
      <c r="G14" s="22">
        <f t="shared" si="11"/>
        <v>992156.55915721226</v>
      </c>
      <c r="H14" s="20">
        <f t="shared" si="12"/>
        <v>992156.55915721226</v>
      </c>
      <c r="I14" s="116">
        <f t="shared" si="13"/>
        <v>959303.93292058341</v>
      </c>
      <c r="J14" s="129">
        <f t="shared" si="14"/>
        <v>3852.6262366288493</v>
      </c>
      <c r="K14" s="129">
        <v>0</v>
      </c>
      <c r="L14" s="129">
        <f t="shared" si="1"/>
        <v>959303.93292058341</v>
      </c>
      <c r="M14" s="19"/>
      <c r="N14" s="20">
        <f t="shared" si="2"/>
        <v>0</v>
      </c>
      <c r="O14" s="20"/>
      <c r="P14" s="20">
        <f t="shared" si="3"/>
        <v>0</v>
      </c>
      <c r="Q14" s="19">
        <f t="shared" si="4"/>
        <v>631</v>
      </c>
      <c r="R14" s="20">
        <f t="shared" si="5"/>
        <v>15775</v>
      </c>
      <c r="S14" s="20"/>
      <c r="T14" s="20">
        <f t="shared" si="6"/>
        <v>0</v>
      </c>
      <c r="U14" s="33"/>
      <c r="V14" s="24">
        <f t="shared" si="7"/>
        <v>0</v>
      </c>
      <c r="W14" s="32">
        <v>414</v>
      </c>
      <c r="X14" s="20">
        <f t="shared" si="16"/>
        <v>29808</v>
      </c>
      <c r="Y14" s="20">
        <v>505</v>
      </c>
      <c r="Z14" s="78">
        <f t="shared" si="8"/>
        <v>292900</v>
      </c>
      <c r="AA14" s="172">
        <f t="shared" si="15"/>
        <v>1326786.9329205835</v>
      </c>
      <c r="AB14" s="170">
        <f>'бр. деца'!AF15</f>
        <v>25</v>
      </c>
      <c r="AC14" s="170">
        <f>'бр. деца'!AG15</f>
        <v>8150</v>
      </c>
      <c r="AD14" s="170" t="e">
        <f>'бр. деца'!AH15</f>
        <v>#REF!</v>
      </c>
      <c r="AE14" s="170" t="e">
        <f>'бр. деца'!AI15</f>
        <v>#REF!</v>
      </c>
      <c r="AF14" s="170">
        <f>'бр. деца'!AJ15</f>
        <v>42525</v>
      </c>
      <c r="AG14" s="170">
        <f>'бр. деца'!AK15</f>
        <v>0</v>
      </c>
      <c r="AH14" s="170">
        <f>'бр. деца'!AL15</f>
        <v>0</v>
      </c>
      <c r="AI14" s="170">
        <f>'бр. деца'!AM15</f>
        <v>0</v>
      </c>
      <c r="AJ14" s="170">
        <f>'бр. деца'!AN15</f>
        <v>0</v>
      </c>
      <c r="AK14" s="170">
        <f>'бр. деца'!AO15</f>
        <v>1</v>
      </c>
      <c r="AL14" s="170">
        <f>'бр. деца'!AP15</f>
        <v>6000</v>
      </c>
      <c r="AM14" s="170">
        <f>'бр. деца'!AQ15</f>
        <v>6000</v>
      </c>
      <c r="AN14" s="170">
        <f>'бр. деца'!AR15</f>
        <v>1541230.9361702127</v>
      </c>
      <c r="AO14" s="27">
        <f t="shared" si="9"/>
        <v>-3852.6262366288493</v>
      </c>
      <c r="AP14" s="28"/>
      <c r="AR14" s="9"/>
      <c r="AS14" s="9"/>
      <c r="AT14" s="9"/>
      <c r="AU14" s="16"/>
      <c r="AV14" s="9"/>
      <c r="AW14" s="9"/>
    </row>
    <row r="15" spans="1:49" ht="34.5" customHeight="1" x14ac:dyDescent="0.2">
      <c r="A15" s="80">
        <v>7</v>
      </c>
      <c r="B15" s="130" t="s">
        <v>21</v>
      </c>
      <c r="C15" s="82">
        <v>92</v>
      </c>
      <c r="D15" s="83">
        <f t="shared" si="10"/>
        <v>148212</v>
      </c>
      <c r="E15" s="83">
        <v>29000</v>
      </c>
      <c r="F15" s="84">
        <f t="shared" si="0"/>
        <v>140428.53160453809</v>
      </c>
      <c r="G15" s="85">
        <f t="shared" si="11"/>
        <v>169428.53160453809</v>
      </c>
      <c r="H15" s="83">
        <f t="shared" si="12"/>
        <v>169428.53160453809</v>
      </c>
      <c r="I15" s="116">
        <f t="shared" si="13"/>
        <v>139866.81747811995</v>
      </c>
      <c r="J15" s="129">
        <f t="shared" si="14"/>
        <v>561.71412641815232</v>
      </c>
      <c r="K15" s="129">
        <v>6278.53</v>
      </c>
      <c r="L15" s="129">
        <f t="shared" si="1"/>
        <v>146145.34747811995</v>
      </c>
      <c r="M15" s="82">
        <v>26</v>
      </c>
      <c r="N15" s="83">
        <f t="shared" si="2"/>
        <v>9698</v>
      </c>
      <c r="O15" s="86"/>
      <c r="P15" s="83">
        <f t="shared" si="3"/>
        <v>0</v>
      </c>
      <c r="Q15" s="82">
        <f t="shared" si="4"/>
        <v>92</v>
      </c>
      <c r="R15" s="83">
        <f t="shared" si="5"/>
        <v>2300</v>
      </c>
      <c r="S15" s="83"/>
      <c r="T15" s="83">
        <f t="shared" si="6"/>
        <v>0</v>
      </c>
      <c r="U15" s="95"/>
      <c r="V15" s="87">
        <f t="shared" si="7"/>
        <v>0</v>
      </c>
      <c r="W15" s="96">
        <v>48</v>
      </c>
      <c r="X15" s="83">
        <f t="shared" si="16"/>
        <v>3456</v>
      </c>
      <c r="Y15" s="83">
        <v>52</v>
      </c>
      <c r="Z15" s="90">
        <f t="shared" si="8"/>
        <v>30160</v>
      </c>
      <c r="AA15" s="172">
        <f t="shared" si="15"/>
        <v>220759.34747811995</v>
      </c>
      <c r="AB15" s="174">
        <f>'бр. деца'!AF16</f>
        <v>10</v>
      </c>
      <c r="AC15" s="174">
        <f>'бр. деца'!AG16</f>
        <v>3260</v>
      </c>
      <c r="AD15" s="174" t="e">
        <f>'бр. деца'!AH16</f>
        <v>#REF!</v>
      </c>
      <c r="AE15" s="174" t="e">
        <f>'бр. деца'!AI16</f>
        <v>#REF!</v>
      </c>
      <c r="AF15" s="174">
        <f>'бр. деца'!AJ16</f>
        <v>14175</v>
      </c>
      <c r="AG15" s="174">
        <f>'бр. деца'!AK16</f>
        <v>0</v>
      </c>
      <c r="AH15" s="174">
        <f>'бр. деца'!AL16</f>
        <v>0</v>
      </c>
      <c r="AI15" s="174">
        <f>'бр. деца'!AM16</f>
        <v>1</v>
      </c>
      <c r="AJ15" s="174">
        <f>'бр. деца'!AN16</f>
        <v>5000</v>
      </c>
      <c r="AK15" s="174">
        <f>'бр. деца'!AO16</f>
        <v>0</v>
      </c>
      <c r="AL15" s="174">
        <f>'бр. деца'!AP16</f>
        <v>0</v>
      </c>
      <c r="AM15" s="174">
        <f>'бр. деца'!AQ16</f>
        <v>5000</v>
      </c>
      <c r="AN15" s="174">
        <f>'бр. деца'!AR16</f>
        <v>196296.27127659574</v>
      </c>
      <c r="AO15" s="27">
        <f t="shared" si="9"/>
        <v>5716.815873581847</v>
      </c>
      <c r="AP15" s="28"/>
    </row>
    <row r="16" spans="1:49" ht="27" customHeight="1" x14ac:dyDescent="0.2">
      <c r="A16" s="17">
        <v>8</v>
      </c>
      <c r="B16" s="131" t="s">
        <v>22</v>
      </c>
      <c r="C16" s="19">
        <v>146</v>
      </c>
      <c r="D16" s="20">
        <f t="shared" si="10"/>
        <v>235206</v>
      </c>
      <c r="E16" s="20">
        <v>29000</v>
      </c>
      <c r="F16" s="21">
        <f t="shared" si="0"/>
        <v>222853.97406807131</v>
      </c>
      <c r="G16" s="22">
        <f t="shared" si="11"/>
        <v>251853.97406807131</v>
      </c>
      <c r="H16" s="20">
        <f t="shared" si="12"/>
        <v>251853.97406807131</v>
      </c>
      <c r="I16" s="116">
        <f t="shared" si="13"/>
        <v>221962.55817179903</v>
      </c>
      <c r="J16" s="129">
        <f t="shared" si="14"/>
        <v>891.41589627228529</v>
      </c>
      <c r="K16" s="129">
        <v>6278.53</v>
      </c>
      <c r="L16" s="129">
        <f t="shared" si="1"/>
        <v>228241.08817179903</v>
      </c>
      <c r="M16" s="19">
        <v>15</v>
      </c>
      <c r="N16" s="20">
        <f t="shared" si="2"/>
        <v>5595</v>
      </c>
      <c r="O16" s="23"/>
      <c r="P16" s="20">
        <f t="shared" si="3"/>
        <v>0</v>
      </c>
      <c r="Q16" s="19">
        <f t="shared" si="4"/>
        <v>146</v>
      </c>
      <c r="R16" s="20">
        <f t="shared" si="5"/>
        <v>3650</v>
      </c>
      <c r="S16" s="20"/>
      <c r="T16" s="20">
        <f t="shared" si="6"/>
        <v>0</v>
      </c>
      <c r="U16" s="24"/>
      <c r="V16" s="24">
        <f t="shared" si="7"/>
        <v>0</v>
      </c>
      <c r="W16" s="32">
        <v>66</v>
      </c>
      <c r="X16" s="20">
        <f t="shared" si="16"/>
        <v>4752</v>
      </c>
      <c r="Y16" s="20">
        <v>146</v>
      </c>
      <c r="Z16" s="78">
        <f t="shared" si="8"/>
        <v>84680</v>
      </c>
      <c r="AA16" s="172">
        <f t="shared" si="15"/>
        <v>355918.08817179903</v>
      </c>
      <c r="AB16" s="170">
        <f>'бр. деца'!AF17</f>
        <v>0</v>
      </c>
      <c r="AC16" s="170">
        <f>'бр. деца'!AG17</f>
        <v>0</v>
      </c>
      <c r="AD16" s="170" t="e">
        <f>'бр. деца'!AH17</f>
        <v>#REF!</v>
      </c>
      <c r="AE16" s="170" t="e">
        <f>'бр. деца'!AI17</f>
        <v>#REF!</v>
      </c>
      <c r="AF16" s="170">
        <f>'бр. деца'!AJ17</f>
        <v>359</v>
      </c>
      <c r="AG16" s="170">
        <f>'бр. деца'!AK17</f>
        <v>0</v>
      </c>
      <c r="AH16" s="170">
        <f>'бр. деца'!AL17</f>
        <v>0</v>
      </c>
      <c r="AI16" s="170">
        <f>'бр. деца'!AM17</f>
        <v>1</v>
      </c>
      <c r="AJ16" s="170">
        <f>'бр. деца'!AN17</f>
        <v>5000</v>
      </c>
      <c r="AK16" s="170">
        <f>'бр. деца'!AO17</f>
        <v>2</v>
      </c>
      <c r="AL16" s="170">
        <f>'бр. деца'!AP17</f>
        <v>12000</v>
      </c>
      <c r="AM16" s="170">
        <f>'бр. деца'!AQ17</f>
        <v>17000</v>
      </c>
      <c r="AN16" s="170">
        <f>'бр. деца'!AR17</f>
        <v>378630.77393617021</v>
      </c>
      <c r="AO16" s="27">
        <f t="shared" si="9"/>
        <v>5387.1141037277148</v>
      </c>
      <c r="AP16" s="28"/>
    </row>
    <row r="17" spans="1:42" ht="25.5" customHeight="1" x14ac:dyDescent="0.2">
      <c r="A17" s="92">
        <v>9</v>
      </c>
      <c r="B17" s="130" t="s">
        <v>23</v>
      </c>
      <c r="C17" s="82">
        <v>49</v>
      </c>
      <c r="D17" s="83">
        <f t="shared" si="10"/>
        <v>78939</v>
      </c>
      <c r="E17" s="83">
        <v>29000</v>
      </c>
      <c r="F17" s="84">
        <f t="shared" si="0"/>
        <v>74793.457050243116</v>
      </c>
      <c r="G17" s="85">
        <f t="shared" si="11"/>
        <v>103793.45705024312</v>
      </c>
      <c r="H17" s="83">
        <f t="shared" si="12"/>
        <v>103793.45705024312</v>
      </c>
      <c r="I17" s="116">
        <f t="shared" si="13"/>
        <v>74494.283222042141</v>
      </c>
      <c r="J17" s="129">
        <f t="shared" si="14"/>
        <v>299.17382820097248</v>
      </c>
      <c r="K17" s="129">
        <v>6278.53</v>
      </c>
      <c r="L17" s="129">
        <f t="shared" si="1"/>
        <v>80772.813222042139</v>
      </c>
      <c r="M17" s="82">
        <v>11</v>
      </c>
      <c r="N17" s="83">
        <f t="shared" si="2"/>
        <v>4103</v>
      </c>
      <c r="O17" s="86"/>
      <c r="P17" s="83">
        <f t="shared" si="3"/>
        <v>0</v>
      </c>
      <c r="Q17" s="82">
        <f t="shared" si="4"/>
        <v>49</v>
      </c>
      <c r="R17" s="83">
        <f t="shared" si="5"/>
        <v>1225</v>
      </c>
      <c r="S17" s="83"/>
      <c r="T17" s="83">
        <f t="shared" si="6"/>
        <v>0</v>
      </c>
      <c r="U17" s="87"/>
      <c r="V17" s="87">
        <f t="shared" si="7"/>
        <v>0</v>
      </c>
      <c r="W17" s="93">
        <v>25</v>
      </c>
      <c r="X17" s="83">
        <f t="shared" si="16"/>
        <v>1800</v>
      </c>
      <c r="Y17" s="83">
        <v>43</v>
      </c>
      <c r="Z17" s="90">
        <f t="shared" si="8"/>
        <v>24940</v>
      </c>
      <c r="AA17" s="172">
        <f t="shared" si="15"/>
        <v>141840.81322204214</v>
      </c>
      <c r="AB17" s="174">
        <f>'бр. деца'!AF18</f>
        <v>9</v>
      </c>
      <c r="AC17" s="174">
        <f>'бр. деца'!AG18</f>
        <v>2934</v>
      </c>
      <c r="AD17" s="174" t="e">
        <f>'бр. деца'!AH18</f>
        <v>#REF!</v>
      </c>
      <c r="AE17" s="174" t="e">
        <f>'бр. деца'!AI18</f>
        <v>#REF!</v>
      </c>
      <c r="AF17" s="174">
        <f>'бр. деца'!AJ18</f>
        <v>3231</v>
      </c>
      <c r="AG17" s="174">
        <f>'бр. деца'!AK18</f>
        <v>0</v>
      </c>
      <c r="AH17" s="174">
        <f>'бр. деца'!AL18</f>
        <v>0</v>
      </c>
      <c r="AI17" s="174">
        <f>'бр. деца'!AM18</f>
        <v>0</v>
      </c>
      <c r="AJ17" s="174">
        <f>'бр. деца'!AN18</f>
        <v>0</v>
      </c>
      <c r="AK17" s="174">
        <f>'бр. деца'!AO18</f>
        <v>0</v>
      </c>
      <c r="AL17" s="174">
        <f>'бр. деца'!AP18</f>
        <v>0</v>
      </c>
      <c r="AM17" s="174">
        <f>'бр. деца'!AQ18</f>
        <v>0</v>
      </c>
      <c r="AN17" s="174">
        <f>'бр. деца'!AR18</f>
        <v>142128.25531914894</v>
      </c>
      <c r="AO17" s="27">
        <f t="shared" si="9"/>
        <v>5979.3561717990269</v>
      </c>
      <c r="AP17" s="28"/>
    </row>
    <row r="18" spans="1:42" ht="18" customHeight="1" x14ac:dyDescent="0.2">
      <c r="A18" s="507" t="s">
        <v>24</v>
      </c>
      <c r="B18" s="508"/>
      <c r="C18" s="97">
        <f t="shared" ref="C18:H18" si="17">SUM(C9:C17)</f>
        <v>3085</v>
      </c>
      <c r="D18" s="98">
        <f t="shared" si="17"/>
        <v>4969935</v>
      </c>
      <c r="E18" s="98">
        <f>SUM(E9:E17)</f>
        <v>261000</v>
      </c>
      <c r="F18" s="99">
        <f t="shared" si="17"/>
        <v>4708935</v>
      </c>
      <c r="G18" s="100">
        <f t="shared" si="17"/>
        <v>4969935</v>
      </c>
      <c r="H18" s="98">
        <f t="shared" si="17"/>
        <v>4969935</v>
      </c>
      <c r="I18" s="98">
        <f>SUM(I9:I17)</f>
        <v>4690099.2600000007</v>
      </c>
      <c r="J18" s="98">
        <f>SUM(J9:J17)</f>
        <v>18835.740000000002</v>
      </c>
      <c r="K18" s="98">
        <f>SUM(K9:K17)</f>
        <v>18835.59</v>
      </c>
      <c r="L18" s="129">
        <f t="shared" si="1"/>
        <v>4708934.8500000006</v>
      </c>
      <c r="M18" s="97">
        <f>SUM(M9:M17)</f>
        <v>73</v>
      </c>
      <c r="N18" s="98">
        <f t="shared" ref="N18:Z18" si="18">SUM(N9:N17)</f>
        <v>27229</v>
      </c>
      <c r="O18" s="97">
        <f t="shared" si="18"/>
        <v>2</v>
      </c>
      <c r="P18" s="97">
        <f t="shared" si="18"/>
        <v>6140</v>
      </c>
      <c r="Q18" s="98">
        <f t="shared" si="18"/>
        <v>3085</v>
      </c>
      <c r="R18" s="98">
        <f>SUM(R9:R17)</f>
        <v>77125</v>
      </c>
      <c r="S18" s="98">
        <f>SUM(S9:S17)</f>
        <v>4</v>
      </c>
      <c r="T18" s="98">
        <f>SUM(T9:T17)</f>
        <v>3448</v>
      </c>
      <c r="U18" s="101">
        <f>SUM(U9:U17)</f>
        <v>525</v>
      </c>
      <c r="V18" s="101">
        <f t="shared" si="18"/>
        <v>45675</v>
      </c>
      <c r="W18" s="101">
        <f t="shared" si="18"/>
        <v>1323</v>
      </c>
      <c r="X18" s="98">
        <f t="shared" si="18"/>
        <v>95256</v>
      </c>
      <c r="Y18" s="98">
        <f t="shared" si="18"/>
        <v>1675</v>
      </c>
      <c r="Z18" s="102">
        <f t="shared" si="18"/>
        <v>971500</v>
      </c>
      <c r="AA18" s="172">
        <f t="shared" si="15"/>
        <v>6196307.8500000006</v>
      </c>
      <c r="AB18" s="175">
        <f>'бр. деца'!AF19</f>
        <v>124</v>
      </c>
      <c r="AC18" s="175">
        <f>'бр. деца'!AG19</f>
        <v>40424</v>
      </c>
      <c r="AD18" s="175" t="e">
        <f>'бр. деца'!AH19</f>
        <v>#REF!</v>
      </c>
      <c r="AE18" s="175" t="e">
        <f>'бр. деца'!AI19</f>
        <v>#REF!</v>
      </c>
      <c r="AF18" s="175">
        <f>'бр. деца'!AJ19</f>
        <v>267604</v>
      </c>
      <c r="AG18" s="175">
        <f>'бр. деца'!AK19</f>
        <v>1</v>
      </c>
      <c r="AH18" s="175">
        <f>'бр. деца'!AL19</f>
        <v>3000</v>
      </c>
      <c r="AI18" s="175">
        <f>'бр. деца'!AM19</f>
        <v>3</v>
      </c>
      <c r="AJ18" s="175">
        <f>'бр. деца'!AN19</f>
        <v>15000</v>
      </c>
      <c r="AK18" s="175">
        <f>'бр. деца'!AO19</f>
        <v>4</v>
      </c>
      <c r="AL18" s="175">
        <f>'бр. деца'!AP19</f>
        <v>24000</v>
      </c>
      <c r="AM18" s="175">
        <f>'бр. деца'!AQ19</f>
        <v>42000</v>
      </c>
      <c r="AN18" s="175">
        <f>'бр. деца'!AR19</f>
        <v>7134655.0000000009</v>
      </c>
      <c r="AO18" s="27">
        <f t="shared" si="9"/>
        <v>-0.15000000000145519</v>
      </c>
      <c r="AP18" s="28"/>
    </row>
    <row r="19" spans="1:42" ht="16.5" customHeight="1" x14ac:dyDescent="0.2">
      <c r="A19" s="34">
        <v>10</v>
      </c>
      <c r="B19" s="35" t="s">
        <v>25</v>
      </c>
      <c r="C19" s="36">
        <v>71</v>
      </c>
      <c r="D19" s="20">
        <f t="shared" si="10"/>
        <v>114381</v>
      </c>
      <c r="E19" s="36"/>
      <c r="F19" s="150"/>
      <c r="G19" s="36"/>
      <c r="H19" s="36">
        <f>C19*D8</f>
        <v>114381</v>
      </c>
      <c r="I19" s="36"/>
      <c r="J19" s="36"/>
      <c r="K19" s="36"/>
      <c r="L19" s="36"/>
      <c r="M19" s="36">
        <v>25</v>
      </c>
      <c r="N19" s="20">
        <f>M19*$N$8</f>
        <v>9325</v>
      </c>
      <c r="O19" s="36">
        <v>-1</v>
      </c>
      <c r="P19" s="20">
        <f>O19*$P$8</f>
        <v>-3070</v>
      </c>
      <c r="Q19" s="36">
        <v>71</v>
      </c>
      <c r="R19" s="20">
        <f>Q19*$R$8</f>
        <v>1775</v>
      </c>
      <c r="S19" s="36">
        <v>1</v>
      </c>
      <c r="T19" s="20">
        <f>S19*$T$8</f>
        <v>862</v>
      </c>
      <c r="U19" s="36">
        <v>-61</v>
      </c>
      <c r="V19" s="24">
        <f>U19*$V$8</f>
        <v>-5307</v>
      </c>
      <c r="W19" s="36">
        <v>-2</v>
      </c>
      <c r="X19" s="20">
        <f>W19*$X$8</f>
        <v>-144</v>
      </c>
      <c r="Y19" s="36">
        <v>16</v>
      </c>
      <c r="Z19" s="78">
        <f>Y19*$Z$8</f>
        <v>9280</v>
      </c>
      <c r="AA19" s="172">
        <f t="shared" si="15"/>
        <v>12721</v>
      </c>
      <c r="AB19" s="164">
        <f>'бр. деца'!AF20</f>
        <v>3</v>
      </c>
      <c r="AC19" s="164">
        <f>'бр. деца'!AG20</f>
        <v>978</v>
      </c>
      <c r="AD19" s="164" t="e">
        <f>'бр. деца'!AH20</f>
        <v>#REF!</v>
      </c>
      <c r="AE19" s="164" t="e">
        <f>'бр. деца'!AI20</f>
        <v>#REF!</v>
      </c>
      <c r="AF19" s="164">
        <f>'бр. деца'!AJ20</f>
        <v>8257</v>
      </c>
      <c r="AG19" s="164">
        <f>'бр. деца'!AK20</f>
        <v>0</v>
      </c>
      <c r="AH19" s="164">
        <f>'бр. деца'!AL20</f>
        <v>0</v>
      </c>
      <c r="AI19" s="164">
        <f>'бр. деца'!AM20</f>
        <v>0</v>
      </c>
      <c r="AJ19" s="164">
        <f>'бр. деца'!AN20</f>
        <v>0</v>
      </c>
      <c r="AK19" s="164">
        <f>'бр. деца'!AO20</f>
        <v>-1</v>
      </c>
      <c r="AL19" s="164">
        <f>'бр. деца'!AP20</f>
        <v>-6000</v>
      </c>
      <c r="AM19" s="164">
        <f>'бр. деца'!AQ20</f>
        <v>-6000</v>
      </c>
      <c r="AN19" s="164">
        <f>'бр. деца'!AR20</f>
        <v>305853.99999999907</v>
      </c>
      <c r="AO19" s="27"/>
      <c r="AP19" s="37"/>
    </row>
    <row r="20" spans="1:42" ht="20.25" customHeight="1" thickBot="1" x14ac:dyDescent="0.25">
      <c r="A20" s="38"/>
      <c r="B20" s="39" t="s">
        <v>26</v>
      </c>
      <c r="C20" s="40">
        <f>C18+C19</f>
        <v>3156</v>
      </c>
      <c r="D20" s="40">
        <f>D18+D19</f>
        <v>5084316</v>
      </c>
      <c r="E20" s="41"/>
      <c r="F20" s="151"/>
      <c r="G20" s="42">
        <f t="shared" ref="G20:Z20" si="19">G18+G19</f>
        <v>4969935</v>
      </c>
      <c r="H20" s="41">
        <f t="shared" si="19"/>
        <v>5084316</v>
      </c>
      <c r="I20" s="41"/>
      <c r="J20" s="41"/>
      <c r="K20" s="41"/>
      <c r="L20" s="41"/>
      <c r="M20" s="41">
        <f t="shared" si="19"/>
        <v>98</v>
      </c>
      <c r="N20" s="41">
        <f t="shared" si="19"/>
        <v>36554</v>
      </c>
      <c r="O20" s="41">
        <f t="shared" si="19"/>
        <v>1</v>
      </c>
      <c r="P20" s="41">
        <f t="shared" si="19"/>
        <v>3070</v>
      </c>
      <c r="Q20" s="41">
        <f t="shared" si="19"/>
        <v>3156</v>
      </c>
      <c r="R20" s="41">
        <f t="shared" si="19"/>
        <v>78900</v>
      </c>
      <c r="S20" s="41">
        <f t="shared" si="19"/>
        <v>5</v>
      </c>
      <c r="T20" s="41">
        <f t="shared" si="19"/>
        <v>4310</v>
      </c>
      <c r="U20" s="41">
        <f t="shared" si="19"/>
        <v>464</v>
      </c>
      <c r="V20" s="41">
        <f t="shared" si="19"/>
        <v>40368</v>
      </c>
      <c r="W20" s="41">
        <f t="shared" si="19"/>
        <v>1321</v>
      </c>
      <c r="X20" s="41">
        <f t="shared" si="19"/>
        <v>95112</v>
      </c>
      <c r="Y20" s="41">
        <f t="shared" si="19"/>
        <v>1691</v>
      </c>
      <c r="Z20" s="43">
        <f t="shared" si="19"/>
        <v>980780</v>
      </c>
      <c r="AA20" s="172">
        <f>H20+N20+P20+R20+V20+X20+Z20+T20</f>
        <v>6323410</v>
      </c>
      <c r="AB20" s="164">
        <f>'бр. деца'!AF21</f>
        <v>127</v>
      </c>
      <c r="AC20" s="164">
        <f>'бр. деца'!AG21</f>
        <v>41402</v>
      </c>
      <c r="AD20" s="164" t="e">
        <f>'бр. деца'!AH21</f>
        <v>#REF!</v>
      </c>
      <c r="AE20" s="164" t="e">
        <f>'бр. деца'!AI21</f>
        <v>#REF!</v>
      </c>
      <c r="AF20" s="164">
        <f>'бр. деца'!AJ21</f>
        <v>45593</v>
      </c>
      <c r="AG20" s="164">
        <f>'бр. деца'!AK21</f>
        <v>1</v>
      </c>
      <c r="AH20" s="164">
        <f>'бр. деца'!AL21</f>
        <v>3000</v>
      </c>
      <c r="AI20" s="164">
        <f>'бр. деца'!AM21</f>
        <v>3</v>
      </c>
      <c r="AJ20" s="164">
        <f>'бр. деца'!AN21</f>
        <v>15000</v>
      </c>
      <c r="AK20" s="164">
        <f>'бр. деца'!AO21</f>
        <v>3</v>
      </c>
      <c r="AL20" s="164">
        <f>'бр. деца'!AP21</f>
        <v>18000</v>
      </c>
      <c r="AM20" s="164">
        <f>'бр. деца'!AQ21</f>
        <v>36000</v>
      </c>
      <c r="AN20" s="164">
        <f>'бр. деца'!AR21</f>
        <v>7210241</v>
      </c>
      <c r="AO20" s="27"/>
      <c r="AP20" s="37"/>
    </row>
    <row r="21" spans="1:42" ht="35.25" customHeight="1" x14ac:dyDescent="0.2">
      <c r="A21" s="44"/>
      <c r="B21" s="44"/>
      <c r="C21" s="45"/>
      <c r="D21" s="45"/>
      <c r="E21" s="45"/>
      <c r="F21" s="46">
        <f>D18-E18</f>
        <v>4708935</v>
      </c>
      <c r="G21" s="27"/>
      <c r="H21" s="27"/>
      <c r="I21" s="27"/>
      <c r="J21" s="27"/>
      <c r="K21" s="27"/>
      <c r="L21" s="27"/>
      <c r="M21" s="47"/>
      <c r="N21" s="47"/>
      <c r="O21" s="47"/>
      <c r="P21" s="47"/>
      <c r="Q21" s="47"/>
      <c r="R21" s="47"/>
      <c r="S21" s="47"/>
      <c r="T21" s="47"/>
      <c r="U21" s="45"/>
      <c r="V21" s="45"/>
      <c r="W21" s="27"/>
      <c r="X21" s="47"/>
      <c r="Y21" s="47"/>
      <c r="Z21" s="47"/>
      <c r="AA21" s="124">
        <f>SUM(AA9:AA17)</f>
        <v>6196307.8499999996</v>
      </c>
      <c r="AB21" s="124"/>
      <c r="AC21" s="124"/>
      <c r="AD21" s="124"/>
      <c r="AE21" s="124"/>
      <c r="AF21" s="124"/>
      <c r="AG21" s="124"/>
      <c r="AH21" s="124"/>
      <c r="AI21" s="124"/>
      <c r="AJ21" s="124"/>
      <c r="AK21" s="124"/>
      <c r="AL21" s="124"/>
      <c r="AM21" s="124"/>
      <c r="AN21" s="124"/>
      <c r="AO21" s="48"/>
      <c r="AP21" s="6"/>
    </row>
    <row r="22" spans="1:42" ht="15.75" customHeight="1" x14ac:dyDescent="0.25">
      <c r="A22" s="44"/>
      <c r="B22" s="49"/>
      <c r="C22" s="486" t="s">
        <v>27</v>
      </c>
      <c r="D22" s="486"/>
      <c r="E22" s="49"/>
      <c r="F22" s="49"/>
      <c r="G22" s="49"/>
      <c r="H22" s="49"/>
      <c r="I22" s="49"/>
      <c r="J22" s="114"/>
      <c r="K22" s="49"/>
      <c r="L22" s="114"/>
      <c r="M22" s="49"/>
      <c r="N22" s="50"/>
      <c r="O22" s="50"/>
      <c r="P22" s="490"/>
      <c r="Q22" s="490"/>
      <c r="R22" s="490"/>
      <c r="S22" s="490"/>
      <c r="T22" s="490"/>
      <c r="U22" s="490"/>
      <c r="V22" s="490"/>
      <c r="W22" s="49"/>
      <c r="X22" s="505" t="s">
        <v>28</v>
      </c>
      <c r="Y22" s="505"/>
      <c r="Z22" s="505"/>
      <c r="AA22" s="505"/>
      <c r="AB22" s="148"/>
      <c r="AC22" s="148"/>
      <c r="AD22" s="148"/>
      <c r="AE22" s="148"/>
      <c r="AF22" s="148"/>
      <c r="AG22" s="148"/>
      <c r="AH22" s="148"/>
      <c r="AI22" s="148"/>
      <c r="AJ22" s="148"/>
      <c r="AK22" s="148"/>
      <c r="AL22" s="148"/>
      <c r="AM22" s="148"/>
      <c r="AN22" s="148"/>
    </row>
    <row r="23" spans="1:42" ht="15.75" customHeight="1" x14ac:dyDescent="0.25">
      <c r="A23" s="44"/>
      <c r="B23" s="49"/>
      <c r="C23" s="49"/>
      <c r="D23" s="143"/>
      <c r="E23" s="49"/>
      <c r="F23" s="49"/>
      <c r="G23" s="49"/>
      <c r="H23" s="49"/>
      <c r="I23" s="110"/>
      <c r="J23" s="49"/>
      <c r="K23" s="49"/>
      <c r="L23" s="111"/>
      <c r="M23" s="49"/>
      <c r="N23" s="50"/>
      <c r="O23" s="50"/>
      <c r="P23" s="50"/>
      <c r="Q23" s="52"/>
      <c r="R23" s="49"/>
      <c r="S23" s="49"/>
      <c r="T23" s="49"/>
      <c r="U23" s="49"/>
      <c r="V23" s="49"/>
      <c r="W23" s="49"/>
      <c r="X23" s="51"/>
      <c r="Y23" s="51"/>
      <c r="Z23" s="485"/>
      <c r="AA23" s="485"/>
      <c r="AB23" s="146"/>
      <c r="AC23" s="146"/>
      <c r="AD23" s="146"/>
      <c r="AE23" s="146"/>
      <c r="AF23" s="146"/>
      <c r="AG23" s="146"/>
      <c r="AH23" s="146"/>
      <c r="AI23" s="146"/>
      <c r="AJ23" s="146"/>
      <c r="AK23" s="146"/>
      <c r="AL23" s="146"/>
      <c r="AM23" s="146"/>
      <c r="AN23" s="146"/>
    </row>
    <row r="24" spans="1:42" ht="7.5" customHeight="1" x14ac:dyDescent="0.2">
      <c r="B24" s="49"/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  <c r="P24" s="49"/>
      <c r="Q24" s="486"/>
      <c r="R24" s="486"/>
      <c r="S24" s="486"/>
      <c r="T24" s="486"/>
      <c r="U24" s="486"/>
      <c r="V24" s="486"/>
      <c r="W24" s="486"/>
      <c r="X24" s="53"/>
      <c r="Y24" s="53"/>
      <c r="Z24" s="49"/>
      <c r="AA24" s="49"/>
      <c r="AB24" s="49"/>
      <c r="AC24" s="49"/>
      <c r="AD24" s="49"/>
      <c r="AE24" s="49"/>
      <c r="AF24" s="49"/>
      <c r="AG24" s="49"/>
      <c r="AH24" s="49"/>
      <c r="AI24" s="49"/>
      <c r="AJ24" s="49"/>
      <c r="AK24" s="49"/>
      <c r="AL24" s="49"/>
      <c r="AM24" s="49"/>
      <c r="AN24" s="49"/>
    </row>
    <row r="25" spans="1:42" ht="27" customHeight="1" x14ac:dyDescent="0.25"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3"/>
      <c r="N25" s="53"/>
      <c r="O25" s="53"/>
      <c r="P25" s="53"/>
      <c r="Q25" s="487"/>
      <c r="R25" s="487"/>
      <c r="S25" s="487"/>
      <c r="T25" s="487"/>
      <c r="U25" s="487"/>
      <c r="V25" s="487"/>
      <c r="W25" s="487"/>
      <c r="X25" s="487"/>
      <c r="Y25" s="487"/>
      <c r="Z25" s="487"/>
      <c r="AA25" s="487"/>
      <c r="AB25" s="147"/>
      <c r="AC25" s="147"/>
      <c r="AD25" s="147"/>
      <c r="AE25" s="147"/>
      <c r="AF25" s="147"/>
      <c r="AG25" s="147"/>
      <c r="AH25" s="147"/>
      <c r="AI25" s="147"/>
      <c r="AJ25" s="147"/>
      <c r="AK25" s="147"/>
      <c r="AL25" s="147"/>
      <c r="AM25" s="147"/>
      <c r="AN25" s="147"/>
    </row>
    <row r="26" spans="1:42" ht="20.25" customHeight="1" x14ac:dyDescent="0.25">
      <c r="A26" s="10"/>
      <c r="B26" s="54"/>
      <c r="C26" s="54"/>
      <c r="D26" s="54"/>
      <c r="E26" s="54"/>
      <c r="F26" s="54"/>
      <c r="G26" s="54"/>
      <c r="H26" s="54"/>
      <c r="I26" s="54"/>
      <c r="J26" s="54"/>
      <c r="K26" s="54"/>
      <c r="L26" s="54"/>
      <c r="M26" s="55"/>
      <c r="N26" s="55"/>
      <c r="O26" s="55"/>
      <c r="P26" s="55"/>
      <c r="Q26" s="56"/>
      <c r="R26" s="483"/>
      <c r="S26" s="483"/>
      <c r="T26" s="483"/>
      <c r="U26" s="483"/>
      <c r="V26" s="483"/>
      <c r="W26" s="483"/>
      <c r="X26" s="483"/>
      <c r="Y26" s="483"/>
      <c r="Z26" s="483"/>
      <c r="AA26" s="483"/>
      <c r="AB26" s="144"/>
      <c r="AC26" s="144"/>
      <c r="AD26" s="144"/>
      <c r="AE26" s="144"/>
      <c r="AF26" s="144"/>
      <c r="AG26" s="144"/>
      <c r="AH26" s="144"/>
      <c r="AI26" s="144"/>
      <c r="AJ26" s="144"/>
      <c r="AK26" s="144"/>
      <c r="AL26" s="144"/>
      <c r="AM26" s="144"/>
      <c r="AN26" s="144"/>
    </row>
    <row r="27" spans="1:42" ht="15.75" customHeight="1" x14ac:dyDescent="0.2">
      <c r="A27" s="10"/>
      <c r="B27" s="57"/>
      <c r="C27" s="58"/>
      <c r="D27" s="58"/>
      <c r="E27" s="58"/>
      <c r="F27" s="58"/>
      <c r="G27" s="58"/>
      <c r="H27" s="58"/>
      <c r="I27" s="58"/>
      <c r="J27" s="58"/>
      <c r="K27" s="58"/>
      <c r="L27" s="58"/>
      <c r="M27" s="55"/>
      <c r="N27" s="55"/>
      <c r="O27" s="55"/>
      <c r="P27" s="55"/>
      <c r="Q27" s="55"/>
      <c r="R27" s="55"/>
      <c r="S27" s="55"/>
      <c r="T27" s="55"/>
      <c r="U27" s="55"/>
      <c r="V27" s="55"/>
      <c r="W27" s="484"/>
      <c r="X27" s="484"/>
      <c r="Y27" s="484"/>
      <c r="Z27" s="484"/>
      <c r="AA27" s="484"/>
      <c r="AB27" s="145"/>
      <c r="AC27" s="145"/>
      <c r="AD27" s="145"/>
      <c r="AE27" s="145"/>
      <c r="AF27" s="145"/>
      <c r="AG27" s="145"/>
      <c r="AH27" s="145"/>
      <c r="AI27" s="145"/>
      <c r="AJ27" s="145"/>
      <c r="AK27" s="145"/>
      <c r="AL27" s="145"/>
      <c r="AM27" s="145"/>
      <c r="AN27" s="145"/>
    </row>
    <row r="28" spans="1:42" x14ac:dyDescent="0.2">
      <c r="A28" s="10"/>
      <c r="B28" s="59"/>
      <c r="C28" s="60"/>
      <c r="D28" s="60"/>
      <c r="E28" s="60"/>
      <c r="F28" s="61"/>
      <c r="G28" s="62"/>
      <c r="H28" s="62"/>
      <c r="I28" s="62"/>
      <c r="J28" s="62"/>
      <c r="K28" s="62"/>
      <c r="L28" s="62"/>
      <c r="M28" s="63"/>
      <c r="N28" s="63"/>
      <c r="O28" s="63"/>
      <c r="P28" s="63"/>
      <c r="Q28" s="63"/>
      <c r="R28" s="63"/>
      <c r="S28" s="63"/>
      <c r="T28" s="63"/>
      <c r="U28" s="63"/>
      <c r="V28" s="63"/>
      <c r="W28" s="63"/>
      <c r="X28" s="63"/>
      <c r="Y28" s="63"/>
      <c r="Z28" s="63"/>
      <c r="AA28" s="63"/>
      <c r="AB28" s="63"/>
      <c r="AC28" s="63"/>
      <c r="AD28" s="63"/>
      <c r="AE28" s="63"/>
      <c r="AF28" s="63"/>
      <c r="AG28" s="63"/>
      <c r="AH28" s="63"/>
      <c r="AI28" s="63"/>
      <c r="AJ28" s="63"/>
      <c r="AK28" s="63"/>
      <c r="AL28" s="63"/>
      <c r="AM28" s="63"/>
      <c r="AN28" s="63"/>
    </row>
    <row r="29" spans="1:42" x14ac:dyDescent="0.2">
      <c r="A29" s="64"/>
      <c r="B29" s="59"/>
      <c r="C29" s="60"/>
      <c r="D29" s="60"/>
      <c r="E29" s="60"/>
      <c r="F29" s="60"/>
      <c r="G29" s="60"/>
      <c r="H29" s="60"/>
      <c r="I29" s="60"/>
      <c r="J29" s="60"/>
      <c r="K29" s="60"/>
      <c r="L29" s="60"/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3"/>
      <c r="AA29" s="63"/>
      <c r="AB29" s="63"/>
      <c r="AC29" s="63"/>
      <c r="AD29" s="63"/>
      <c r="AE29" s="63"/>
      <c r="AF29" s="63"/>
      <c r="AG29" s="63"/>
      <c r="AH29" s="63"/>
      <c r="AI29" s="63"/>
      <c r="AJ29" s="63"/>
      <c r="AK29" s="63"/>
      <c r="AL29" s="63"/>
      <c r="AM29" s="63"/>
      <c r="AN29" s="63"/>
    </row>
    <row r="30" spans="1:42" x14ac:dyDescent="0.2">
      <c r="A30" s="65"/>
      <c r="B30" s="59"/>
      <c r="C30" s="66"/>
      <c r="D30" s="60"/>
      <c r="E30" s="60"/>
      <c r="F30" s="66"/>
      <c r="G30" s="66"/>
      <c r="H30" s="66"/>
      <c r="I30" s="66"/>
      <c r="J30" s="66"/>
      <c r="K30" s="66"/>
      <c r="L30" s="66"/>
      <c r="M30" s="63"/>
      <c r="N30" s="63"/>
      <c r="O30" s="63"/>
      <c r="P30" s="63"/>
      <c r="Q30" s="63"/>
      <c r="R30" s="63"/>
      <c r="S30" s="63"/>
      <c r="T30" s="63"/>
      <c r="U30" s="63"/>
      <c r="V30" s="63"/>
      <c r="W30" s="63"/>
      <c r="X30" s="63"/>
      <c r="Y30" s="63"/>
      <c r="Z30" s="63"/>
      <c r="AA30" s="63"/>
      <c r="AB30" s="63"/>
      <c r="AC30" s="63"/>
      <c r="AD30" s="63"/>
      <c r="AE30" s="63"/>
      <c r="AF30" s="63"/>
      <c r="AG30" s="63"/>
      <c r="AH30" s="63"/>
      <c r="AI30" s="63"/>
      <c r="AJ30" s="63"/>
      <c r="AK30" s="63"/>
      <c r="AL30" s="63"/>
      <c r="AM30" s="63"/>
      <c r="AN30" s="63"/>
    </row>
    <row r="31" spans="1:42" x14ac:dyDescent="0.2">
      <c r="A31" s="65"/>
      <c r="B31" s="67"/>
      <c r="C31" s="48"/>
      <c r="D31" s="48"/>
      <c r="E31" s="48"/>
      <c r="F31" s="9"/>
      <c r="G31" s="68"/>
      <c r="H31" s="68"/>
      <c r="I31" s="68"/>
      <c r="J31" s="68"/>
      <c r="K31" s="68"/>
      <c r="L31" s="68"/>
    </row>
    <row r="32" spans="1:42" x14ac:dyDescent="0.2">
      <c r="A32" s="64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1:13" x14ac:dyDescent="0.2">
      <c r="A33" s="65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1:13" x14ac:dyDescent="0.2">
      <c r="A34" s="65"/>
      <c r="B34" s="69"/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1:13" x14ac:dyDescent="0.2">
      <c r="A35" s="64"/>
      <c r="B35" s="69"/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1:13" x14ac:dyDescent="0.2">
      <c r="A36" s="65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3" x14ac:dyDescent="0.2">
      <c r="A37" s="65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3" x14ac:dyDescent="0.2">
      <c r="A38" s="64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3" x14ac:dyDescent="0.2">
      <c r="A39" s="65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3" x14ac:dyDescent="0.2">
      <c r="A40" s="44"/>
      <c r="B40" s="44"/>
      <c r="C40" s="16"/>
      <c r="D40" s="16"/>
      <c r="E40" s="16"/>
      <c r="F40" s="16"/>
      <c r="G40" s="16"/>
      <c r="H40" s="16"/>
      <c r="I40" s="16"/>
      <c r="J40" s="16"/>
      <c r="K40" s="16"/>
      <c r="L40" s="16"/>
    </row>
    <row r="41" spans="1:13" x14ac:dyDescent="0.2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3" x14ac:dyDescent="0.2">
      <c r="A42" s="70"/>
      <c r="B42" s="70"/>
      <c r="C42" s="70"/>
      <c r="D42" s="48"/>
      <c r="E42" s="48"/>
      <c r="F42" s="48"/>
      <c r="G42" s="48"/>
      <c r="H42" s="48"/>
      <c r="I42" s="48"/>
      <c r="J42" s="48"/>
      <c r="K42" s="48"/>
      <c r="L42" s="48"/>
      <c r="M42" s="48"/>
    </row>
    <row r="43" spans="1:13" ht="6.75" customHeight="1" x14ac:dyDescent="0.2">
      <c r="A43" s="48"/>
      <c r="B43" s="48"/>
      <c r="C43" s="48"/>
      <c r="D43" s="48"/>
      <c r="E43" s="48"/>
      <c r="F43" s="48"/>
      <c r="G43" s="48"/>
      <c r="H43" s="48"/>
      <c r="I43" s="48"/>
      <c r="J43" s="48"/>
      <c r="K43" s="48"/>
      <c r="L43" s="48"/>
      <c r="M43" s="48"/>
    </row>
    <row r="44" spans="1:13" ht="5.25" customHeight="1" x14ac:dyDescent="0.2">
      <c r="A44" s="48"/>
      <c r="B44" s="48"/>
      <c r="C44" s="48"/>
      <c r="D44" s="48"/>
      <c r="E44" s="48"/>
      <c r="F44" s="48"/>
      <c r="G44" s="48"/>
      <c r="H44" s="48"/>
      <c r="I44" s="48"/>
      <c r="J44" s="48"/>
      <c r="K44" s="48"/>
      <c r="L44" s="48"/>
      <c r="M44" s="48"/>
    </row>
    <row r="45" spans="1:13" x14ac:dyDescent="0.2">
      <c r="A45" s="68"/>
      <c r="B45" s="68"/>
      <c r="C45" s="68"/>
      <c r="D45" s="68"/>
      <c r="E45" s="68"/>
      <c r="F45" s="68"/>
      <c r="G45" s="68"/>
      <c r="H45" s="68"/>
      <c r="I45" s="68"/>
      <c r="J45" s="68"/>
      <c r="K45" s="68"/>
      <c r="L45" s="68"/>
      <c r="M45" s="48"/>
    </row>
    <row r="46" spans="1:13" x14ac:dyDescent="0.2">
      <c r="A46" s="68"/>
      <c r="B46" s="68"/>
      <c r="C46" s="68"/>
      <c r="D46" s="68"/>
      <c r="E46" s="68"/>
      <c r="F46" s="68"/>
      <c r="G46" s="68"/>
      <c r="H46" s="68"/>
      <c r="I46" s="68"/>
      <c r="J46" s="68"/>
      <c r="K46" s="68"/>
      <c r="L46" s="68"/>
      <c r="M46" s="48"/>
    </row>
    <row r="47" spans="1:13" x14ac:dyDescent="0.2">
      <c r="A47" s="68"/>
      <c r="B47" s="68"/>
      <c r="C47" s="48"/>
      <c r="D47" s="48"/>
      <c r="E47" s="48"/>
      <c r="F47" s="71"/>
      <c r="G47" s="68"/>
      <c r="H47" s="68"/>
      <c r="I47" s="68"/>
      <c r="J47" s="68"/>
      <c r="K47" s="68"/>
      <c r="L47" s="68"/>
      <c r="M47" s="48"/>
    </row>
    <row r="48" spans="1:13" x14ac:dyDescent="0.2">
      <c r="A48" s="72"/>
      <c r="B48" s="48"/>
      <c r="C48" s="48"/>
      <c r="D48" s="48"/>
      <c r="E48" s="48"/>
      <c r="F48" s="48"/>
      <c r="G48" s="48"/>
      <c r="H48" s="48"/>
      <c r="I48" s="48"/>
      <c r="J48" s="48"/>
      <c r="K48" s="48"/>
      <c r="L48" s="48"/>
      <c r="M48" s="48"/>
    </row>
    <row r="49" spans="1:13" x14ac:dyDescent="0.2">
      <c r="A49" s="73"/>
      <c r="B49" s="74"/>
      <c r="C49" s="48"/>
      <c r="D49" s="48"/>
      <c r="E49" s="48"/>
      <c r="F49" s="48"/>
      <c r="G49" s="48"/>
      <c r="H49" s="48"/>
      <c r="I49" s="48"/>
      <c r="J49" s="48"/>
      <c r="K49" s="48"/>
      <c r="L49" s="48"/>
      <c r="M49" s="48"/>
    </row>
    <row r="50" spans="1:13" x14ac:dyDescent="0.2">
      <c r="A50" s="73"/>
      <c r="B50" s="74"/>
      <c r="C50" s="48"/>
      <c r="D50" s="48"/>
      <c r="E50" s="48"/>
      <c r="F50" s="48"/>
      <c r="G50" s="48"/>
      <c r="H50" s="48"/>
      <c r="I50" s="48"/>
      <c r="J50" s="48"/>
      <c r="K50" s="48"/>
      <c r="L50" s="48"/>
      <c r="M50" s="48"/>
    </row>
    <row r="51" spans="1:13" x14ac:dyDescent="0.2">
      <c r="A51" s="72"/>
      <c r="B51" s="48"/>
      <c r="C51" s="48"/>
      <c r="D51" s="48"/>
      <c r="E51" s="48"/>
      <c r="F51" s="48"/>
      <c r="G51" s="48"/>
      <c r="H51" s="48"/>
      <c r="I51" s="48"/>
      <c r="J51" s="48"/>
      <c r="K51" s="48"/>
      <c r="L51" s="48"/>
      <c r="M51" s="48"/>
    </row>
    <row r="52" spans="1:13" x14ac:dyDescent="0.2">
      <c r="A52" s="72"/>
      <c r="B52" s="48"/>
      <c r="C52" s="48"/>
      <c r="D52" s="48"/>
      <c r="E52" s="48"/>
      <c r="F52" s="48"/>
      <c r="G52" s="48"/>
      <c r="H52" s="48"/>
      <c r="I52" s="48"/>
      <c r="J52" s="48"/>
      <c r="K52" s="48"/>
      <c r="L52" s="48"/>
      <c r="M52" s="48"/>
    </row>
    <row r="53" spans="1:13" x14ac:dyDescent="0.2">
      <c r="A53" s="73"/>
      <c r="B53" s="74"/>
      <c r="C53" s="48"/>
      <c r="D53" s="48"/>
      <c r="E53" s="48"/>
      <c r="F53" s="48"/>
      <c r="G53" s="48"/>
      <c r="H53" s="48"/>
      <c r="I53" s="48"/>
      <c r="J53" s="48"/>
      <c r="K53" s="48"/>
      <c r="L53" s="48"/>
      <c r="M53" s="48"/>
    </row>
    <row r="54" spans="1:13" x14ac:dyDescent="0.2">
      <c r="A54" s="73"/>
      <c r="B54" s="74"/>
      <c r="C54" s="48"/>
      <c r="D54" s="48"/>
      <c r="E54" s="48"/>
      <c r="F54" s="48"/>
      <c r="G54" s="48"/>
      <c r="H54" s="48"/>
      <c r="I54" s="48"/>
      <c r="J54" s="48"/>
      <c r="K54" s="48"/>
      <c r="L54" s="48"/>
      <c r="M54" s="48"/>
    </row>
    <row r="55" spans="1:13" x14ac:dyDescent="0.2">
      <c r="A55" s="72"/>
      <c r="B55" s="48"/>
      <c r="C55" s="48"/>
      <c r="D55" s="48"/>
      <c r="E55" s="48"/>
      <c r="F55" s="48"/>
      <c r="G55" s="48"/>
      <c r="H55" s="48"/>
      <c r="I55" s="48"/>
      <c r="J55" s="48"/>
      <c r="K55" s="48"/>
      <c r="L55" s="48"/>
      <c r="M55" s="48"/>
    </row>
    <row r="56" spans="1:13" x14ac:dyDescent="0.2">
      <c r="A56" s="72"/>
      <c r="B56" s="48"/>
      <c r="C56" s="48"/>
      <c r="D56" s="48"/>
      <c r="E56" s="48"/>
      <c r="F56" s="48"/>
      <c r="G56" s="48"/>
      <c r="H56" s="48"/>
      <c r="I56" s="48"/>
      <c r="J56" s="48"/>
      <c r="K56" s="48"/>
      <c r="L56" s="48"/>
      <c r="M56" s="48"/>
    </row>
    <row r="57" spans="1:13" x14ac:dyDescent="0.2">
      <c r="A57" s="73"/>
      <c r="B57" s="48"/>
      <c r="C57" s="48"/>
      <c r="D57" s="48"/>
      <c r="E57" s="48"/>
      <c r="F57" s="48"/>
      <c r="G57" s="48"/>
      <c r="H57" s="48"/>
      <c r="I57" s="48"/>
      <c r="J57" s="48"/>
      <c r="K57" s="48"/>
      <c r="L57" s="48"/>
      <c r="M57" s="48"/>
    </row>
    <row r="58" spans="1:13" x14ac:dyDescent="0.2">
      <c r="A58" s="73"/>
      <c r="B58" s="48"/>
      <c r="C58" s="48"/>
      <c r="D58" s="48"/>
      <c r="E58" s="48"/>
      <c r="F58" s="48"/>
      <c r="G58" s="48"/>
      <c r="H58" s="48"/>
      <c r="I58" s="48"/>
      <c r="J58" s="48"/>
      <c r="K58" s="48"/>
      <c r="L58" s="48"/>
      <c r="M58" s="48"/>
    </row>
    <row r="59" spans="1:13" x14ac:dyDescent="0.2">
      <c r="A59" s="72"/>
      <c r="B59" s="48"/>
      <c r="C59" s="48"/>
      <c r="D59" s="48"/>
      <c r="E59" s="48"/>
      <c r="F59" s="48"/>
      <c r="G59" s="48"/>
      <c r="H59" s="48"/>
      <c r="I59" s="48"/>
      <c r="J59" s="48"/>
      <c r="K59" s="48"/>
      <c r="L59" s="48"/>
      <c r="M59" s="48"/>
    </row>
    <row r="60" spans="1:13" x14ac:dyDescent="0.2">
      <c r="A60" s="72"/>
      <c r="B60" s="48"/>
      <c r="C60" s="48"/>
      <c r="D60" s="48"/>
      <c r="E60" s="48"/>
      <c r="F60" s="48"/>
      <c r="G60" s="48"/>
      <c r="H60" s="48"/>
      <c r="I60" s="48"/>
      <c r="J60" s="48"/>
      <c r="K60" s="48"/>
      <c r="L60" s="48"/>
      <c r="M60" s="48"/>
    </row>
    <row r="61" spans="1:13" x14ac:dyDescent="0.2">
      <c r="A61" s="73"/>
      <c r="B61" s="48"/>
      <c r="C61" s="48"/>
      <c r="D61" s="48"/>
      <c r="E61" s="48"/>
      <c r="F61" s="48"/>
      <c r="G61" s="48"/>
      <c r="H61" s="48"/>
      <c r="I61" s="48"/>
      <c r="J61" s="48"/>
      <c r="K61" s="48"/>
      <c r="L61" s="48"/>
      <c r="M61" s="48"/>
    </row>
    <row r="62" spans="1:13" x14ac:dyDescent="0.2">
      <c r="A62" s="73"/>
      <c r="B62" s="48"/>
      <c r="C62" s="48"/>
      <c r="D62" s="48"/>
      <c r="E62" s="48"/>
      <c r="F62" s="48"/>
      <c r="G62" s="48"/>
      <c r="H62" s="48"/>
      <c r="I62" s="48"/>
      <c r="J62" s="48"/>
      <c r="K62" s="48"/>
      <c r="L62" s="48"/>
      <c r="M62" s="48"/>
    </row>
    <row r="63" spans="1:13" x14ac:dyDescent="0.2">
      <c r="A63" s="75"/>
      <c r="B63" s="75"/>
      <c r="C63" s="45"/>
      <c r="D63" s="45"/>
      <c r="E63" s="45"/>
      <c r="F63" s="45"/>
      <c r="G63" s="45"/>
      <c r="H63" s="45"/>
      <c r="I63" s="45"/>
      <c r="J63" s="45"/>
      <c r="K63" s="45"/>
      <c r="L63" s="45"/>
      <c r="M63" s="48"/>
    </row>
    <row r="64" spans="1:13" ht="6.75" customHeight="1" x14ac:dyDescent="0.2">
      <c r="A64" s="48"/>
      <c r="B64" s="48"/>
      <c r="C64" s="48"/>
      <c r="D64" s="48"/>
      <c r="E64" s="48"/>
      <c r="F64" s="48"/>
      <c r="G64" s="48"/>
      <c r="H64" s="48"/>
      <c r="I64" s="48"/>
      <c r="J64" s="48"/>
      <c r="K64" s="48"/>
      <c r="L64" s="48"/>
      <c r="M64" s="48"/>
    </row>
    <row r="65" spans="1:13" x14ac:dyDescent="0.2">
      <c r="A65" s="70"/>
      <c r="B65" s="70"/>
      <c r="C65" s="70"/>
      <c r="D65" s="48"/>
      <c r="E65" s="48"/>
      <c r="F65" s="48"/>
      <c r="G65" s="48"/>
      <c r="H65" s="48"/>
      <c r="I65" s="48"/>
      <c r="J65" s="48"/>
      <c r="K65" s="48"/>
      <c r="L65" s="48"/>
      <c r="M65" s="48"/>
    </row>
    <row r="66" spans="1:13" x14ac:dyDescent="0.2">
      <c r="A66" s="48"/>
      <c r="B66" s="48"/>
      <c r="C66" s="48"/>
      <c r="D66" s="48"/>
      <c r="E66" s="48"/>
      <c r="F66" s="48"/>
      <c r="G66" s="48"/>
      <c r="H66" s="48"/>
      <c r="I66" s="48"/>
      <c r="J66" s="48"/>
      <c r="K66" s="48"/>
      <c r="L66" s="48"/>
      <c r="M66" s="48"/>
    </row>
    <row r="67" spans="1:13" x14ac:dyDescent="0.2">
      <c r="A67" s="68"/>
      <c r="B67" s="68"/>
      <c r="C67" s="68"/>
      <c r="D67" s="68"/>
      <c r="E67" s="68"/>
      <c r="F67" s="68"/>
      <c r="G67" s="68"/>
      <c r="H67" s="68"/>
      <c r="I67" s="68"/>
      <c r="J67" s="68"/>
      <c r="K67" s="68"/>
      <c r="L67" s="68"/>
      <c r="M67" s="48"/>
    </row>
    <row r="68" spans="1:13" x14ac:dyDescent="0.2">
      <c r="A68" s="68"/>
      <c r="B68" s="68"/>
      <c r="C68" s="68"/>
      <c r="D68" s="68"/>
      <c r="E68" s="68"/>
      <c r="F68" s="68"/>
      <c r="G68" s="68"/>
      <c r="H68" s="68"/>
      <c r="I68" s="68"/>
      <c r="J68" s="68"/>
      <c r="K68" s="68"/>
      <c r="L68" s="68"/>
      <c r="M68" s="48"/>
    </row>
    <row r="69" spans="1:13" x14ac:dyDescent="0.2">
      <c r="A69" s="68"/>
      <c r="B69" s="68"/>
      <c r="C69" s="48"/>
      <c r="D69" s="48"/>
      <c r="E69" s="48"/>
      <c r="F69" s="71"/>
      <c r="G69" s="68"/>
      <c r="H69" s="68"/>
      <c r="I69" s="68"/>
      <c r="J69" s="68"/>
      <c r="K69" s="68"/>
      <c r="L69" s="68"/>
      <c r="M69" s="48"/>
    </row>
    <row r="70" spans="1:13" x14ac:dyDescent="0.2">
      <c r="A70" s="72"/>
      <c r="B70" s="48"/>
      <c r="C70" s="48"/>
      <c r="D70" s="48"/>
      <c r="E70" s="48"/>
      <c r="F70" s="48"/>
      <c r="G70" s="48"/>
      <c r="H70" s="48"/>
      <c r="I70" s="48"/>
      <c r="J70" s="48"/>
      <c r="K70" s="48"/>
      <c r="L70" s="48"/>
      <c r="M70" s="48"/>
    </row>
    <row r="71" spans="1:13" x14ac:dyDescent="0.2">
      <c r="A71" s="73"/>
      <c r="B71" s="74"/>
      <c r="C71" s="48"/>
      <c r="D71" s="48"/>
      <c r="E71" s="48"/>
      <c r="F71" s="48"/>
      <c r="G71" s="48"/>
      <c r="H71" s="48"/>
      <c r="I71" s="48"/>
      <c r="J71" s="48"/>
      <c r="K71" s="48"/>
      <c r="L71" s="48"/>
      <c r="M71" s="48"/>
    </row>
    <row r="72" spans="1:13" x14ac:dyDescent="0.2">
      <c r="A72" s="73"/>
      <c r="B72" s="74"/>
      <c r="C72" s="48"/>
      <c r="D72" s="48"/>
      <c r="E72" s="48"/>
      <c r="F72" s="48"/>
      <c r="G72" s="48"/>
      <c r="H72" s="48"/>
      <c r="I72" s="48"/>
      <c r="J72" s="48"/>
      <c r="K72" s="48"/>
      <c r="L72" s="48"/>
      <c r="M72" s="48"/>
    </row>
    <row r="73" spans="1:13" x14ac:dyDescent="0.2">
      <c r="A73" s="72"/>
      <c r="B73" s="48"/>
      <c r="C73" s="48"/>
      <c r="D73" s="48"/>
      <c r="E73" s="48"/>
      <c r="F73" s="48"/>
      <c r="G73" s="48"/>
      <c r="H73" s="48"/>
      <c r="I73" s="48"/>
      <c r="J73" s="48"/>
      <c r="K73" s="48"/>
      <c r="L73" s="48"/>
      <c r="M73" s="48"/>
    </row>
    <row r="74" spans="1:13" x14ac:dyDescent="0.2">
      <c r="A74" s="72"/>
      <c r="B74" s="48"/>
      <c r="C74" s="48"/>
      <c r="D74" s="48"/>
      <c r="E74" s="48"/>
      <c r="F74" s="48"/>
      <c r="G74" s="48"/>
      <c r="H74" s="48"/>
      <c r="I74" s="48"/>
      <c r="J74" s="48"/>
      <c r="K74" s="48"/>
      <c r="L74" s="48"/>
      <c r="M74" s="48"/>
    </row>
    <row r="75" spans="1:13" x14ac:dyDescent="0.2">
      <c r="A75" s="73"/>
      <c r="B75" s="74"/>
      <c r="C75" s="48"/>
      <c r="D75" s="48"/>
      <c r="E75" s="48"/>
      <c r="F75" s="48"/>
      <c r="G75" s="48"/>
      <c r="H75" s="48"/>
      <c r="I75" s="48"/>
      <c r="J75" s="48"/>
      <c r="K75" s="48"/>
      <c r="L75" s="48"/>
      <c r="M75" s="48"/>
    </row>
    <row r="76" spans="1:13" x14ac:dyDescent="0.2">
      <c r="A76" s="73"/>
      <c r="B76" s="74"/>
      <c r="C76" s="48"/>
      <c r="D76" s="48"/>
      <c r="E76" s="48"/>
      <c r="F76" s="48"/>
      <c r="G76" s="48"/>
      <c r="H76" s="48"/>
      <c r="I76" s="48"/>
      <c r="J76" s="48"/>
      <c r="K76" s="48"/>
      <c r="L76" s="48"/>
      <c r="M76" s="48"/>
    </row>
    <row r="77" spans="1:13" x14ac:dyDescent="0.2">
      <c r="A77" s="72"/>
      <c r="B77" s="48"/>
      <c r="C77" s="48"/>
      <c r="D77" s="48"/>
      <c r="E77" s="48"/>
      <c r="F77" s="48"/>
      <c r="G77" s="48"/>
      <c r="H77" s="48"/>
      <c r="I77" s="48"/>
      <c r="J77" s="48"/>
      <c r="K77" s="48"/>
      <c r="L77" s="48"/>
      <c r="M77" s="48"/>
    </row>
    <row r="78" spans="1:13" x14ac:dyDescent="0.2">
      <c r="A78" s="72"/>
      <c r="B78" s="48"/>
      <c r="C78" s="48"/>
      <c r="D78" s="48"/>
      <c r="E78" s="48"/>
      <c r="F78" s="48"/>
      <c r="G78" s="48"/>
      <c r="H78" s="48"/>
      <c r="I78" s="48"/>
      <c r="J78" s="48"/>
      <c r="K78" s="48"/>
      <c r="L78" s="48"/>
      <c r="M78" s="48"/>
    </row>
    <row r="79" spans="1:13" x14ac:dyDescent="0.2">
      <c r="A79" s="73"/>
      <c r="B79" s="48"/>
      <c r="C79" s="48"/>
      <c r="D79" s="48"/>
      <c r="E79" s="48"/>
      <c r="F79" s="48"/>
      <c r="G79" s="48"/>
      <c r="H79" s="48"/>
      <c r="I79" s="48"/>
      <c r="J79" s="48"/>
      <c r="K79" s="48"/>
      <c r="L79" s="48"/>
      <c r="M79" s="48"/>
    </row>
    <row r="80" spans="1:13" x14ac:dyDescent="0.2">
      <c r="A80" s="73"/>
      <c r="B80" s="48"/>
      <c r="C80" s="48"/>
      <c r="D80" s="48"/>
      <c r="E80" s="48"/>
      <c r="F80" s="48"/>
      <c r="G80" s="48"/>
      <c r="H80" s="48"/>
      <c r="I80" s="48"/>
      <c r="J80" s="48"/>
      <c r="K80" s="48"/>
      <c r="L80" s="48"/>
      <c r="M80" s="48"/>
    </row>
    <row r="81" spans="1:13" x14ac:dyDescent="0.2">
      <c r="A81" s="72"/>
      <c r="B81" s="48"/>
      <c r="C81" s="48"/>
      <c r="D81" s="48"/>
      <c r="E81" s="48"/>
      <c r="F81" s="48"/>
      <c r="G81" s="48"/>
      <c r="H81" s="48"/>
      <c r="I81" s="48"/>
      <c r="J81" s="48"/>
      <c r="K81" s="48"/>
      <c r="L81" s="48"/>
      <c r="M81" s="48"/>
    </row>
    <row r="82" spans="1:13" x14ac:dyDescent="0.2">
      <c r="A82" s="72"/>
      <c r="B82" s="48"/>
      <c r="C82" s="48"/>
      <c r="D82" s="48"/>
      <c r="E82" s="48"/>
      <c r="F82" s="48"/>
      <c r="G82" s="48"/>
      <c r="H82" s="48"/>
      <c r="I82" s="48"/>
      <c r="J82" s="48"/>
      <c r="K82" s="48"/>
      <c r="L82" s="48"/>
      <c r="M82" s="48"/>
    </row>
    <row r="83" spans="1:13" x14ac:dyDescent="0.2">
      <c r="A83" s="73"/>
      <c r="B83" s="48"/>
      <c r="C83" s="48"/>
      <c r="D83" s="48"/>
      <c r="E83" s="48"/>
      <c r="F83" s="48"/>
      <c r="G83" s="48"/>
      <c r="H83" s="48"/>
      <c r="I83" s="48"/>
      <c r="J83" s="48"/>
      <c r="K83" s="48"/>
      <c r="L83" s="48"/>
      <c r="M83" s="48"/>
    </row>
    <row r="84" spans="1:13" x14ac:dyDescent="0.2">
      <c r="A84" s="73"/>
      <c r="B84" s="48"/>
      <c r="C84" s="48"/>
      <c r="D84" s="48"/>
      <c r="E84" s="48"/>
      <c r="F84" s="48"/>
      <c r="G84" s="48"/>
      <c r="H84" s="48"/>
      <c r="I84" s="48"/>
      <c r="J84" s="48"/>
      <c r="K84" s="48"/>
      <c r="L84" s="48"/>
      <c r="M84" s="48"/>
    </row>
    <row r="85" spans="1:13" x14ac:dyDescent="0.2">
      <c r="A85" s="75"/>
      <c r="B85" s="75"/>
      <c r="C85" s="45"/>
      <c r="D85" s="45"/>
      <c r="E85" s="45"/>
      <c r="F85" s="45"/>
      <c r="G85" s="45"/>
      <c r="H85" s="45"/>
      <c r="I85" s="45"/>
      <c r="J85" s="45"/>
      <c r="K85" s="45"/>
      <c r="L85" s="45"/>
      <c r="M85" s="48"/>
    </row>
    <row r="86" spans="1:13" x14ac:dyDescent="0.2">
      <c r="A86" s="48"/>
      <c r="B86" s="48"/>
      <c r="C86" s="48"/>
      <c r="D86" s="48"/>
      <c r="E86" s="48"/>
      <c r="F86" s="48"/>
      <c r="G86" s="48"/>
      <c r="H86" s="48"/>
      <c r="I86" s="48"/>
      <c r="J86" s="48"/>
      <c r="K86" s="48"/>
      <c r="L86" s="48"/>
      <c r="M86" s="48"/>
    </row>
    <row r="87" spans="1:13" x14ac:dyDescent="0.2">
      <c r="A87" s="70"/>
      <c r="B87" s="70"/>
      <c r="C87" s="70"/>
      <c r="D87" s="48"/>
      <c r="E87" s="48"/>
      <c r="F87" s="48"/>
      <c r="G87" s="48"/>
      <c r="H87" s="48"/>
      <c r="I87" s="48"/>
      <c r="J87" s="48"/>
      <c r="K87" s="48"/>
      <c r="L87" s="48"/>
      <c r="M87" s="48"/>
    </row>
    <row r="88" spans="1:13" x14ac:dyDescent="0.2">
      <c r="A88" s="48"/>
      <c r="B88" s="48"/>
      <c r="C88" s="48"/>
      <c r="D88" s="48"/>
      <c r="E88" s="48"/>
      <c r="F88" s="48"/>
      <c r="G88" s="48"/>
      <c r="H88" s="48"/>
      <c r="I88" s="48"/>
      <c r="J88" s="48"/>
      <c r="K88" s="48"/>
      <c r="L88" s="48"/>
      <c r="M88" s="48"/>
    </row>
    <row r="89" spans="1:13" x14ac:dyDescent="0.2">
      <c r="A89" s="48"/>
      <c r="B89" s="48"/>
      <c r="C89" s="48"/>
      <c r="D89" s="48"/>
      <c r="E89" s="48"/>
      <c r="F89" s="48"/>
      <c r="G89" s="48"/>
      <c r="H89" s="48"/>
      <c r="I89" s="48"/>
      <c r="J89" s="48"/>
      <c r="K89" s="48"/>
      <c r="L89" s="48"/>
      <c r="M89" s="48"/>
    </row>
    <row r="90" spans="1:13" x14ac:dyDescent="0.2">
      <c r="A90" s="48"/>
      <c r="B90" s="48"/>
      <c r="C90" s="48"/>
      <c r="D90" s="48"/>
      <c r="E90" s="48"/>
      <c r="F90" s="48"/>
      <c r="G90" s="48"/>
      <c r="H90" s="48"/>
      <c r="I90" s="48"/>
      <c r="J90" s="48"/>
      <c r="K90" s="48"/>
      <c r="L90" s="48"/>
      <c r="M90" s="48"/>
    </row>
    <row r="91" spans="1:13" x14ac:dyDescent="0.2">
      <c r="A91" s="68"/>
      <c r="B91" s="68"/>
      <c r="C91" s="68"/>
      <c r="D91" s="68"/>
      <c r="E91" s="68"/>
      <c r="F91" s="68"/>
      <c r="G91" s="68"/>
      <c r="H91" s="68"/>
      <c r="I91" s="68"/>
      <c r="J91" s="68"/>
      <c r="K91" s="68"/>
      <c r="L91" s="68"/>
      <c r="M91" s="48"/>
    </row>
    <row r="92" spans="1:13" x14ac:dyDescent="0.2">
      <c r="A92" s="68"/>
      <c r="B92" s="68"/>
      <c r="C92" s="68"/>
      <c r="D92" s="68"/>
      <c r="E92" s="68"/>
      <c r="F92" s="68"/>
      <c r="G92" s="68"/>
      <c r="H92" s="68"/>
      <c r="I92" s="68"/>
      <c r="J92" s="68"/>
      <c r="K92" s="68"/>
      <c r="L92" s="68"/>
      <c r="M92" s="48"/>
    </row>
    <row r="93" spans="1:13" x14ac:dyDescent="0.2">
      <c r="A93" s="68"/>
      <c r="B93" s="68"/>
      <c r="C93" s="68"/>
      <c r="D93" s="68"/>
      <c r="E93" s="68"/>
      <c r="F93" s="68"/>
      <c r="G93" s="68"/>
      <c r="H93" s="68"/>
      <c r="I93" s="68"/>
      <c r="J93" s="68"/>
      <c r="K93" s="68"/>
      <c r="L93" s="68"/>
      <c r="M93" s="48"/>
    </row>
    <row r="94" spans="1:13" x14ac:dyDescent="0.2">
      <c r="A94" s="72"/>
      <c r="B94" s="48"/>
      <c r="C94" s="48"/>
      <c r="D94" s="48"/>
      <c r="E94" s="48"/>
      <c r="F94" s="48"/>
      <c r="G94" s="48"/>
      <c r="H94" s="48"/>
      <c r="I94" s="48"/>
      <c r="J94" s="48"/>
      <c r="K94" s="48"/>
      <c r="L94" s="48"/>
      <c r="M94" s="48"/>
    </row>
    <row r="95" spans="1:13" x14ac:dyDescent="0.2">
      <c r="A95" s="73"/>
      <c r="B95" s="74"/>
      <c r="C95" s="48"/>
      <c r="D95" s="48"/>
      <c r="E95" s="48"/>
      <c r="F95" s="48"/>
      <c r="G95" s="48"/>
      <c r="H95" s="48"/>
      <c r="I95" s="48"/>
      <c r="J95" s="48"/>
      <c r="K95" s="48"/>
      <c r="L95" s="48"/>
      <c r="M95" s="48"/>
    </row>
    <row r="96" spans="1:13" x14ac:dyDescent="0.2">
      <c r="A96" s="73"/>
      <c r="B96" s="74"/>
      <c r="C96" s="48"/>
      <c r="D96" s="48"/>
      <c r="E96" s="48"/>
      <c r="F96" s="48"/>
      <c r="G96" s="48"/>
      <c r="H96" s="48"/>
      <c r="I96" s="48"/>
      <c r="J96" s="48"/>
      <c r="K96" s="48"/>
      <c r="L96" s="48"/>
      <c r="M96" s="48"/>
    </row>
    <row r="97" spans="1:13" x14ac:dyDescent="0.2">
      <c r="A97" s="72"/>
      <c r="B97" s="48"/>
      <c r="C97" s="48"/>
      <c r="D97" s="48"/>
      <c r="E97" s="48"/>
      <c r="F97" s="48"/>
      <c r="G97" s="48"/>
      <c r="H97" s="48"/>
      <c r="I97" s="48"/>
      <c r="J97" s="48"/>
      <c r="K97" s="48"/>
      <c r="L97" s="48"/>
      <c r="M97" s="48"/>
    </row>
    <row r="98" spans="1:13" x14ac:dyDescent="0.2">
      <c r="A98" s="72"/>
      <c r="B98" s="48"/>
      <c r="C98" s="48"/>
      <c r="D98" s="48"/>
      <c r="E98" s="48"/>
      <c r="F98" s="48"/>
      <c r="G98" s="48"/>
      <c r="H98" s="48"/>
      <c r="I98" s="48"/>
      <c r="J98" s="48"/>
      <c r="K98" s="48"/>
      <c r="L98" s="48"/>
      <c r="M98" s="48"/>
    </row>
    <row r="99" spans="1:13" x14ac:dyDescent="0.2">
      <c r="A99" s="73"/>
      <c r="B99" s="74"/>
      <c r="C99" s="48"/>
      <c r="D99" s="48"/>
      <c r="E99" s="48"/>
      <c r="F99" s="48"/>
      <c r="G99" s="48"/>
      <c r="H99" s="48"/>
      <c r="I99" s="48"/>
      <c r="J99" s="48"/>
      <c r="K99" s="48"/>
      <c r="L99" s="48"/>
      <c r="M99" s="48"/>
    </row>
    <row r="100" spans="1:13" x14ac:dyDescent="0.2">
      <c r="A100" s="73"/>
      <c r="B100" s="74"/>
      <c r="C100" s="48"/>
      <c r="D100" s="48"/>
      <c r="E100" s="48"/>
      <c r="F100" s="48"/>
      <c r="G100" s="48"/>
      <c r="H100" s="48"/>
      <c r="I100" s="48"/>
      <c r="J100" s="48"/>
      <c r="K100" s="48"/>
      <c r="L100" s="48"/>
      <c r="M100" s="48"/>
    </row>
    <row r="101" spans="1:13" x14ac:dyDescent="0.2">
      <c r="A101" s="72"/>
      <c r="B101" s="48"/>
      <c r="C101" s="48"/>
      <c r="D101" s="48"/>
      <c r="E101" s="48"/>
      <c r="F101" s="48"/>
      <c r="G101" s="48"/>
      <c r="H101" s="48"/>
      <c r="I101" s="48"/>
      <c r="J101" s="48"/>
      <c r="K101" s="48"/>
      <c r="L101" s="48"/>
      <c r="M101" s="48"/>
    </row>
    <row r="102" spans="1:13" x14ac:dyDescent="0.2">
      <c r="A102" s="72"/>
      <c r="B102" s="48"/>
      <c r="C102" s="48"/>
      <c r="D102" s="48"/>
      <c r="E102" s="48"/>
      <c r="F102" s="48"/>
      <c r="G102" s="48"/>
      <c r="H102" s="48"/>
      <c r="I102" s="48"/>
      <c r="J102" s="48"/>
      <c r="K102" s="48"/>
      <c r="L102" s="48"/>
      <c r="M102" s="48"/>
    </row>
    <row r="103" spans="1:13" x14ac:dyDescent="0.2">
      <c r="A103" s="73"/>
      <c r="B103" s="48"/>
      <c r="C103" s="48"/>
      <c r="D103" s="48"/>
      <c r="E103" s="48"/>
      <c r="F103" s="48"/>
      <c r="G103" s="48"/>
      <c r="H103" s="48"/>
      <c r="I103" s="48"/>
      <c r="J103" s="48"/>
      <c r="K103" s="48"/>
      <c r="L103" s="48"/>
      <c r="M103" s="48"/>
    </row>
    <row r="104" spans="1:13" x14ac:dyDescent="0.2">
      <c r="A104" s="73"/>
      <c r="B104" s="48"/>
      <c r="C104" s="48"/>
      <c r="D104" s="48"/>
      <c r="E104" s="48"/>
      <c r="F104" s="48"/>
      <c r="G104" s="48"/>
      <c r="H104" s="48"/>
      <c r="I104" s="48"/>
      <c r="J104" s="48"/>
      <c r="K104" s="48"/>
      <c r="L104" s="48"/>
      <c r="M104" s="48"/>
    </row>
    <row r="105" spans="1:13" x14ac:dyDescent="0.2">
      <c r="A105" s="72"/>
      <c r="B105" s="48"/>
      <c r="C105" s="48"/>
      <c r="D105" s="48"/>
      <c r="E105" s="48"/>
      <c r="F105" s="48"/>
      <c r="G105" s="48"/>
      <c r="H105" s="48"/>
      <c r="I105" s="48"/>
      <c r="J105" s="48"/>
      <c r="K105" s="48"/>
      <c r="L105" s="48"/>
      <c r="M105" s="48"/>
    </row>
    <row r="106" spans="1:13" x14ac:dyDescent="0.2">
      <c r="A106" s="72"/>
      <c r="B106" s="48"/>
      <c r="C106" s="48"/>
      <c r="D106" s="48"/>
      <c r="E106" s="48"/>
      <c r="F106" s="48"/>
      <c r="G106" s="48"/>
      <c r="H106" s="48"/>
      <c r="I106" s="48"/>
      <c r="J106" s="48"/>
      <c r="K106" s="48"/>
      <c r="L106" s="48"/>
      <c r="M106" s="48"/>
    </row>
    <row r="107" spans="1:13" x14ac:dyDescent="0.2">
      <c r="A107" s="73"/>
      <c r="B107" s="48"/>
      <c r="C107" s="48"/>
      <c r="D107" s="48"/>
      <c r="E107" s="48"/>
      <c r="F107" s="48"/>
      <c r="G107" s="48"/>
      <c r="H107" s="48"/>
      <c r="I107" s="48"/>
      <c r="J107" s="48"/>
      <c r="K107" s="48"/>
      <c r="L107" s="48"/>
      <c r="M107" s="48"/>
    </row>
    <row r="108" spans="1:13" x14ac:dyDescent="0.2">
      <c r="A108" s="73"/>
      <c r="B108" s="48"/>
      <c r="C108" s="48"/>
      <c r="D108" s="48"/>
      <c r="E108" s="48"/>
      <c r="F108" s="48"/>
      <c r="G108" s="48"/>
      <c r="H108" s="48"/>
      <c r="I108" s="48"/>
      <c r="J108" s="48"/>
      <c r="K108" s="48"/>
      <c r="L108" s="48"/>
      <c r="M108" s="48"/>
    </row>
    <row r="109" spans="1:13" x14ac:dyDescent="0.2">
      <c r="A109" s="75"/>
      <c r="B109" s="75"/>
      <c r="C109" s="45"/>
      <c r="D109" s="45"/>
      <c r="E109" s="45"/>
      <c r="F109" s="45"/>
      <c r="G109" s="45"/>
      <c r="H109" s="45"/>
      <c r="I109" s="45"/>
      <c r="J109" s="45"/>
      <c r="K109" s="45"/>
      <c r="L109" s="45"/>
      <c r="M109" s="48"/>
    </row>
    <row r="110" spans="1:13" x14ac:dyDescent="0.2">
      <c r="A110" s="48"/>
      <c r="B110" s="48"/>
      <c r="C110" s="48"/>
      <c r="D110" s="48"/>
      <c r="E110" s="48"/>
      <c r="F110" s="48"/>
      <c r="G110" s="48"/>
      <c r="H110" s="48"/>
      <c r="I110" s="48"/>
      <c r="J110" s="48"/>
      <c r="K110" s="48"/>
      <c r="L110" s="48"/>
      <c r="M110" s="48"/>
    </row>
    <row r="111" spans="1:13" x14ac:dyDescent="0.2">
      <c r="A111" s="70"/>
      <c r="B111" s="70"/>
      <c r="C111" s="70"/>
      <c r="D111" s="48"/>
      <c r="E111" s="48"/>
      <c r="F111" s="48"/>
      <c r="G111" s="48"/>
      <c r="H111" s="48"/>
      <c r="I111" s="48"/>
      <c r="J111" s="48"/>
      <c r="K111" s="48"/>
      <c r="L111" s="48"/>
      <c r="M111" s="48"/>
    </row>
    <row r="112" spans="1:13" x14ac:dyDescent="0.2">
      <c r="A112" s="48"/>
      <c r="B112" s="48"/>
      <c r="C112" s="48"/>
      <c r="D112" s="48"/>
      <c r="E112" s="48"/>
      <c r="F112" s="48"/>
      <c r="G112" s="48"/>
      <c r="H112" s="48"/>
      <c r="I112" s="48"/>
      <c r="J112" s="48"/>
      <c r="K112" s="48"/>
      <c r="L112" s="48"/>
      <c r="M112" s="48"/>
    </row>
    <row r="113" spans="1:13" x14ac:dyDescent="0.2">
      <c r="A113" s="68"/>
      <c r="B113" s="68"/>
      <c r="C113" s="68"/>
      <c r="D113" s="68"/>
      <c r="E113" s="68"/>
      <c r="F113" s="68"/>
      <c r="G113" s="68"/>
      <c r="H113" s="68"/>
      <c r="I113" s="68"/>
      <c r="J113" s="68"/>
      <c r="K113" s="68"/>
      <c r="L113" s="68"/>
      <c r="M113" s="48"/>
    </row>
    <row r="114" spans="1:13" x14ac:dyDescent="0.2">
      <c r="A114" s="68"/>
      <c r="B114" s="68"/>
      <c r="C114" s="68"/>
      <c r="D114" s="68"/>
      <c r="E114" s="68"/>
      <c r="F114" s="68"/>
      <c r="G114" s="68"/>
      <c r="H114" s="68"/>
      <c r="I114" s="68"/>
      <c r="J114" s="68"/>
      <c r="K114" s="68"/>
      <c r="L114" s="68"/>
      <c r="M114" s="48"/>
    </row>
    <row r="115" spans="1:13" x14ac:dyDescent="0.2">
      <c r="A115" s="68"/>
      <c r="B115" s="68"/>
      <c r="C115" s="48"/>
      <c r="D115" s="48"/>
      <c r="E115" s="48"/>
      <c r="F115" s="71"/>
      <c r="G115" s="68"/>
      <c r="H115" s="68"/>
      <c r="I115" s="68"/>
      <c r="J115" s="68"/>
      <c r="K115" s="68"/>
      <c r="L115" s="68"/>
      <c r="M115" s="48"/>
    </row>
    <row r="116" spans="1:13" x14ac:dyDescent="0.2">
      <c r="A116" s="72"/>
      <c r="B116" s="48"/>
      <c r="C116" s="48"/>
      <c r="D116" s="48"/>
      <c r="E116" s="48"/>
      <c r="F116" s="76"/>
      <c r="G116" s="48"/>
      <c r="H116" s="48"/>
      <c r="I116" s="48"/>
      <c r="J116" s="48"/>
      <c r="K116" s="48"/>
      <c r="L116" s="48"/>
      <c r="M116" s="48"/>
    </row>
    <row r="117" spans="1:13" x14ac:dyDescent="0.2">
      <c r="A117" s="73"/>
      <c r="B117" s="74"/>
      <c r="C117" s="48"/>
      <c r="D117" s="48"/>
      <c r="E117" s="48"/>
      <c r="F117" s="76"/>
      <c r="G117" s="48"/>
      <c r="H117" s="48"/>
      <c r="I117" s="48"/>
      <c r="J117" s="48"/>
      <c r="K117" s="48"/>
      <c r="L117" s="48"/>
      <c r="M117" s="48"/>
    </row>
    <row r="118" spans="1:13" x14ac:dyDescent="0.2">
      <c r="A118" s="73"/>
      <c r="B118" s="74"/>
      <c r="C118" s="48"/>
      <c r="D118" s="48"/>
      <c r="E118" s="48"/>
      <c r="F118" s="76"/>
      <c r="G118" s="48"/>
      <c r="H118" s="48"/>
      <c r="I118" s="48"/>
      <c r="J118" s="48"/>
      <c r="K118" s="48"/>
      <c r="L118" s="48"/>
      <c r="M118" s="48"/>
    </row>
    <row r="119" spans="1:13" x14ac:dyDescent="0.2">
      <c r="A119" s="72"/>
      <c r="B119" s="48"/>
      <c r="C119" s="48"/>
      <c r="D119" s="48"/>
      <c r="E119" s="48"/>
      <c r="F119" s="76"/>
      <c r="G119" s="48"/>
      <c r="H119" s="48"/>
      <c r="I119" s="48"/>
      <c r="J119" s="48"/>
      <c r="K119" s="48"/>
      <c r="L119" s="48"/>
      <c r="M119" s="48"/>
    </row>
    <row r="120" spans="1:13" x14ac:dyDescent="0.2">
      <c r="A120" s="73"/>
      <c r="B120" s="48"/>
      <c r="C120" s="48"/>
      <c r="D120" s="48"/>
      <c r="E120" s="48"/>
      <c r="F120" s="76"/>
      <c r="G120" s="48"/>
      <c r="H120" s="48"/>
      <c r="I120" s="48"/>
      <c r="J120" s="48"/>
      <c r="K120" s="48"/>
      <c r="L120" s="48"/>
      <c r="M120" s="48"/>
    </row>
    <row r="121" spans="1:13" x14ac:dyDescent="0.2">
      <c r="A121" s="73"/>
      <c r="B121" s="74"/>
      <c r="C121" s="48"/>
      <c r="D121" s="48"/>
      <c r="E121" s="48"/>
      <c r="F121" s="76"/>
      <c r="G121" s="48"/>
      <c r="H121" s="48"/>
      <c r="I121" s="48"/>
      <c r="J121" s="48"/>
      <c r="K121" s="48"/>
      <c r="L121" s="48"/>
      <c r="M121" s="48"/>
    </row>
    <row r="122" spans="1:13" x14ac:dyDescent="0.2">
      <c r="A122" s="72"/>
      <c r="B122" s="74"/>
      <c r="C122" s="48"/>
      <c r="D122" s="48"/>
      <c r="E122" s="48"/>
      <c r="F122" s="76"/>
      <c r="G122" s="48"/>
      <c r="H122" s="48"/>
      <c r="I122" s="48"/>
      <c r="J122" s="48"/>
      <c r="K122" s="48"/>
      <c r="L122" s="48"/>
      <c r="M122" s="48"/>
    </row>
    <row r="123" spans="1:13" x14ac:dyDescent="0.2">
      <c r="A123" s="73"/>
      <c r="B123" s="48"/>
      <c r="C123" s="48"/>
      <c r="D123" s="48"/>
      <c r="E123" s="48"/>
      <c r="F123" s="76"/>
      <c r="G123" s="48"/>
      <c r="H123" s="48"/>
      <c r="I123" s="48"/>
      <c r="J123" s="48"/>
      <c r="K123" s="48"/>
      <c r="L123" s="48"/>
      <c r="M123" s="48"/>
    </row>
    <row r="124" spans="1:13" x14ac:dyDescent="0.2">
      <c r="A124" s="73"/>
      <c r="B124" s="48"/>
      <c r="C124" s="48"/>
      <c r="D124" s="48"/>
      <c r="E124" s="48"/>
      <c r="F124" s="76"/>
      <c r="G124" s="48"/>
      <c r="H124" s="48"/>
      <c r="I124" s="48"/>
      <c r="J124" s="48"/>
      <c r="K124" s="48"/>
      <c r="L124" s="48"/>
      <c r="M124" s="48"/>
    </row>
    <row r="125" spans="1:13" x14ac:dyDescent="0.2">
      <c r="A125" s="72"/>
      <c r="B125" s="48"/>
      <c r="C125" s="48"/>
      <c r="D125" s="48"/>
      <c r="E125" s="48"/>
      <c r="F125" s="76"/>
      <c r="G125" s="48"/>
      <c r="H125" s="48"/>
      <c r="I125" s="48"/>
      <c r="J125" s="48"/>
      <c r="K125" s="48"/>
      <c r="L125" s="48"/>
      <c r="M125" s="48"/>
    </row>
    <row r="126" spans="1:13" x14ac:dyDescent="0.2">
      <c r="A126" s="73"/>
      <c r="B126" s="48"/>
      <c r="C126" s="48"/>
      <c r="D126" s="48"/>
      <c r="E126" s="48"/>
      <c r="F126" s="76"/>
      <c r="G126" s="48"/>
      <c r="H126" s="48"/>
      <c r="I126" s="48"/>
      <c r="J126" s="48"/>
      <c r="K126" s="48"/>
      <c r="L126" s="48"/>
      <c r="M126" s="48"/>
    </row>
    <row r="127" spans="1:13" x14ac:dyDescent="0.2">
      <c r="A127" s="75"/>
      <c r="B127" s="75"/>
      <c r="C127" s="45"/>
      <c r="D127" s="45"/>
      <c r="E127" s="45"/>
      <c r="F127" s="45"/>
      <c r="G127" s="45"/>
      <c r="H127" s="45"/>
      <c r="I127" s="45"/>
      <c r="J127" s="45"/>
      <c r="K127" s="45"/>
      <c r="L127" s="45"/>
      <c r="M127" s="48"/>
    </row>
    <row r="128" spans="1:13" x14ac:dyDescent="0.2">
      <c r="A128" s="48"/>
      <c r="B128" s="48"/>
      <c r="C128" s="48"/>
      <c r="D128" s="48"/>
      <c r="E128" s="48"/>
      <c r="F128" s="48"/>
      <c r="G128" s="48"/>
      <c r="H128" s="48"/>
      <c r="I128" s="48"/>
      <c r="J128" s="48"/>
      <c r="K128" s="48"/>
      <c r="L128" s="48"/>
      <c r="M128" s="48"/>
    </row>
    <row r="129" spans="1:13" x14ac:dyDescent="0.2">
      <c r="A129" s="70"/>
      <c r="B129" s="70"/>
      <c r="C129" s="48"/>
      <c r="D129" s="48"/>
      <c r="E129" s="48"/>
      <c r="F129" s="48"/>
      <c r="G129" s="48"/>
      <c r="H129" s="48"/>
      <c r="I129" s="48"/>
      <c r="J129" s="48"/>
      <c r="K129" s="48"/>
      <c r="L129" s="48"/>
      <c r="M129" s="48"/>
    </row>
    <row r="130" spans="1:13" x14ac:dyDescent="0.2">
      <c r="A130" s="48"/>
      <c r="B130" s="48"/>
      <c r="C130" s="48"/>
      <c r="D130" s="48"/>
      <c r="E130" s="48"/>
      <c r="F130" s="48"/>
      <c r="G130" s="48"/>
      <c r="H130" s="48"/>
      <c r="I130" s="48"/>
      <c r="J130" s="48"/>
      <c r="K130" s="48"/>
      <c r="L130" s="48"/>
      <c r="M130" s="48"/>
    </row>
    <row r="131" spans="1:13" x14ac:dyDescent="0.2">
      <c r="A131" s="48"/>
      <c r="B131" s="48"/>
      <c r="C131" s="48"/>
      <c r="D131" s="48"/>
      <c r="E131" s="48"/>
      <c r="F131" s="48"/>
      <c r="G131" s="48"/>
      <c r="H131" s="48"/>
      <c r="I131" s="48"/>
      <c r="J131" s="48"/>
      <c r="K131" s="48"/>
      <c r="L131" s="48"/>
      <c r="M131" s="48"/>
    </row>
    <row r="132" spans="1:13" x14ac:dyDescent="0.2">
      <c r="A132" s="48"/>
      <c r="B132" s="48"/>
      <c r="C132" s="48"/>
      <c r="D132" s="48"/>
      <c r="E132" s="48"/>
      <c r="F132" s="48"/>
      <c r="G132" s="48"/>
      <c r="H132" s="48"/>
      <c r="I132" s="48"/>
      <c r="J132" s="48"/>
      <c r="K132" s="48"/>
      <c r="L132" s="48"/>
      <c r="M132" s="48"/>
    </row>
    <row r="133" spans="1:13" x14ac:dyDescent="0.2">
      <c r="A133" s="48"/>
      <c r="B133" s="48"/>
      <c r="C133" s="48"/>
      <c r="D133" s="48"/>
      <c r="E133" s="48"/>
      <c r="F133" s="48"/>
      <c r="G133" s="48"/>
      <c r="H133" s="48"/>
      <c r="I133" s="48"/>
      <c r="J133" s="48"/>
      <c r="K133" s="48"/>
      <c r="L133" s="48"/>
      <c r="M133" s="48"/>
    </row>
    <row r="134" spans="1:13" x14ac:dyDescent="0.2">
      <c r="A134" s="48"/>
      <c r="B134" s="48"/>
      <c r="C134" s="48"/>
      <c r="D134" s="48"/>
      <c r="E134" s="48"/>
      <c r="F134" s="48"/>
      <c r="G134" s="48"/>
      <c r="H134" s="48"/>
      <c r="I134" s="48"/>
      <c r="J134" s="48"/>
      <c r="K134" s="48"/>
      <c r="L134" s="48"/>
      <c r="M134" s="48"/>
    </row>
    <row r="135" spans="1:13" x14ac:dyDescent="0.2">
      <c r="A135" s="48"/>
      <c r="B135" s="48"/>
      <c r="C135" s="48"/>
      <c r="D135" s="48"/>
      <c r="E135" s="48"/>
      <c r="F135" s="48"/>
      <c r="G135" s="48"/>
      <c r="H135" s="48"/>
      <c r="I135" s="48"/>
      <c r="J135" s="48"/>
      <c r="K135" s="48"/>
      <c r="L135" s="48"/>
      <c r="M135" s="48"/>
    </row>
    <row r="136" spans="1:13" x14ac:dyDescent="0.2">
      <c r="A136" s="48"/>
      <c r="B136" s="48"/>
      <c r="C136" s="48"/>
      <c r="D136" s="48"/>
      <c r="E136" s="48"/>
      <c r="F136" s="48"/>
      <c r="G136" s="48"/>
      <c r="H136" s="48"/>
      <c r="I136" s="48"/>
      <c r="J136" s="48"/>
      <c r="K136" s="48"/>
      <c r="L136" s="48"/>
      <c r="M136" s="48"/>
    </row>
    <row r="137" spans="1:13" x14ac:dyDescent="0.2">
      <c r="A137" s="48"/>
      <c r="B137" s="48"/>
      <c r="C137" s="48"/>
      <c r="D137" s="48"/>
      <c r="E137" s="48"/>
      <c r="F137" s="48"/>
      <c r="G137" s="48"/>
      <c r="H137" s="48"/>
      <c r="I137" s="48"/>
      <c r="J137" s="48"/>
      <c r="K137" s="48"/>
      <c r="L137" s="48"/>
      <c r="M137" s="48"/>
    </row>
    <row r="138" spans="1:13" x14ac:dyDescent="0.2">
      <c r="A138" s="48"/>
      <c r="B138" s="48"/>
      <c r="C138" s="48"/>
      <c r="D138" s="48"/>
      <c r="E138" s="48"/>
      <c r="F138" s="48"/>
      <c r="G138" s="48"/>
      <c r="H138" s="48"/>
      <c r="I138" s="48"/>
      <c r="J138" s="48"/>
      <c r="K138" s="48"/>
      <c r="L138" s="48"/>
      <c r="M138" s="48"/>
    </row>
    <row r="139" spans="1:13" x14ac:dyDescent="0.2">
      <c r="A139" s="48"/>
      <c r="B139" s="48"/>
      <c r="C139" s="48"/>
      <c r="D139" s="48"/>
      <c r="E139" s="48"/>
      <c r="F139" s="48"/>
      <c r="G139" s="48"/>
      <c r="H139" s="48"/>
      <c r="I139" s="48"/>
      <c r="J139" s="48"/>
      <c r="K139" s="48"/>
      <c r="L139" s="48"/>
      <c r="M139" s="48"/>
    </row>
    <row r="140" spans="1:13" x14ac:dyDescent="0.2">
      <c r="A140" s="48"/>
      <c r="B140" s="48"/>
      <c r="C140" s="48"/>
      <c r="D140" s="48"/>
      <c r="E140" s="48"/>
      <c r="F140" s="48"/>
      <c r="G140" s="48"/>
      <c r="H140" s="48"/>
      <c r="I140" s="48"/>
      <c r="J140" s="48"/>
      <c r="K140" s="48"/>
      <c r="L140" s="48"/>
      <c r="M140" s="48"/>
    </row>
    <row r="141" spans="1:13" x14ac:dyDescent="0.2">
      <c r="A141" s="48"/>
      <c r="B141" s="48"/>
      <c r="C141" s="48"/>
      <c r="D141" s="48"/>
      <c r="E141" s="48"/>
      <c r="F141" s="48"/>
      <c r="G141" s="48"/>
      <c r="H141" s="48"/>
      <c r="I141" s="48"/>
      <c r="J141" s="48"/>
      <c r="K141" s="48"/>
      <c r="L141" s="48"/>
      <c r="M141" s="48"/>
    </row>
    <row r="142" spans="1:13" x14ac:dyDescent="0.2">
      <c r="A142" s="48"/>
      <c r="B142" s="48"/>
      <c r="C142" s="48"/>
      <c r="D142" s="48"/>
      <c r="E142" s="48"/>
      <c r="F142" s="48"/>
      <c r="G142" s="48"/>
      <c r="H142" s="48"/>
      <c r="I142" s="48"/>
      <c r="J142" s="48"/>
      <c r="K142" s="48"/>
      <c r="L142" s="48"/>
      <c r="M142" s="48"/>
    </row>
    <row r="143" spans="1:13" x14ac:dyDescent="0.2">
      <c r="A143" s="48"/>
      <c r="B143" s="48"/>
      <c r="C143" s="48"/>
      <c r="D143" s="48"/>
      <c r="E143" s="48"/>
      <c r="F143" s="48"/>
      <c r="G143" s="48"/>
      <c r="H143" s="48"/>
      <c r="I143" s="48"/>
      <c r="J143" s="48"/>
      <c r="K143" s="48"/>
      <c r="L143" s="48"/>
      <c r="M143" s="48"/>
    </row>
    <row r="144" spans="1:13" x14ac:dyDescent="0.2">
      <c r="A144" s="48"/>
      <c r="B144" s="48"/>
      <c r="C144" s="48"/>
      <c r="D144" s="48"/>
      <c r="E144" s="48"/>
      <c r="F144" s="48"/>
      <c r="G144" s="48"/>
      <c r="H144" s="48"/>
      <c r="I144" s="48"/>
      <c r="J144" s="48"/>
      <c r="K144" s="48"/>
      <c r="L144" s="48"/>
      <c r="M144" s="48"/>
    </row>
    <row r="145" spans="1:13" x14ac:dyDescent="0.2">
      <c r="A145" s="48"/>
      <c r="B145" s="48"/>
      <c r="C145" s="48"/>
      <c r="D145" s="48"/>
      <c r="E145" s="48"/>
      <c r="F145" s="48"/>
      <c r="G145" s="48"/>
      <c r="H145" s="48"/>
      <c r="I145" s="48"/>
      <c r="J145" s="48"/>
      <c r="K145" s="48"/>
      <c r="L145" s="48"/>
      <c r="M145" s="48"/>
    </row>
    <row r="146" spans="1:13" x14ac:dyDescent="0.2">
      <c r="A146" s="48"/>
      <c r="B146" s="48"/>
      <c r="C146" s="48"/>
      <c r="D146" s="48"/>
      <c r="E146" s="48"/>
      <c r="F146" s="48"/>
      <c r="G146" s="48"/>
      <c r="H146" s="48"/>
      <c r="I146" s="48"/>
      <c r="J146" s="48"/>
      <c r="K146" s="48"/>
      <c r="L146" s="48"/>
      <c r="M146" s="48"/>
    </row>
    <row r="147" spans="1:13" x14ac:dyDescent="0.2">
      <c r="A147" s="48"/>
      <c r="B147" s="48"/>
      <c r="C147" s="48"/>
      <c r="D147" s="48"/>
      <c r="E147" s="48"/>
      <c r="F147" s="48"/>
      <c r="G147" s="48"/>
      <c r="H147" s="48"/>
      <c r="I147" s="48"/>
      <c r="J147" s="48"/>
      <c r="K147" s="48"/>
      <c r="L147" s="48"/>
      <c r="M147" s="48"/>
    </row>
    <row r="148" spans="1:13" x14ac:dyDescent="0.2">
      <c r="A148" s="48"/>
      <c r="B148" s="48"/>
      <c r="C148" s="48"/>
      <c r="D148" s="48"/>
      <c r="E148" s="48"/>
      <c r="F148" s="48"/>
      <c r="G148" s="48"/>
      <c r="H148" s="48"/>
      <c r="I148" s="48"/>
      <c r="J148" s="48"/>
      <c r="K148" s="48"/>
      <c r="L148" s="48"/>
      <c r="M148" s="48"/>
    </row>
    <row r="149" spans="1:13" x14ac:dyDescent="0.2">
      <c r="A149" s="48"/>
      <c r="B149" s="48"/>
      <c r="C149" s="48"/>
      <c r="D149" s="48"/>
      <c r="E149" s="48"/>
      <c r="F149" s="48"/>
      <c r="G149" s="48"/>
      <c r="H149" s="48"/>
      <c r="I149" s="48"/>
      <c r="J149" s="48"/>
      <c r="K149" s="48"/>
      <c r="L149" s="48"/>
      <c r="M149" s="48"/>
    </row>
    <row r="150" spans="1:13" x14ac:dyDescent="0.2">
      <c r="A150" s="48"/>
      <c r="B150" s="48"/>
      <c r="C150" s="48"/>
      <c r="D150" s="48"/>
      <c r="E150" s="48"/>
      <c r="F150" s="48"/>
      <c r="G150" s="48"/>
      <c r="H150" s="48"/>
      <c r="I150" s="48"/>
      <c r="J150" s="48"/>
      <c r="K150" s="48"/>
      <c r="L150" s="48"/>
      <c r="M150" s="48"/>
    </row>
    <row r="151" spans="1:13" x14ac:dyDescent="0.2">
      <c r="A151" s="48"/>
      <c r="B151" s="48"/>
      <c r="C151" s="48"/>
      <c r="D151" s="48"/>
      <c r="E151" s="48"/>
      <c r="F151" s="48"/>
      <c r="G151" s="48"/>
      <c r="H151" s="48"/>
      <c r="I151" s="48"/>
      <c r="J151" s="48"/>
      <c r="K151" s="48"/>
      <c r="L151" s="48"/>
      <c r="M151" s="48"/>
    </row>
    <row r="152" spans="1:13" x14ac:dyDescent="0.2">
      <c r="A152" s="48"/>
      <c r="B152" s="48"/>
      <c r="C152" s="48"/>
      <c r="D152" s="48"/>
      <c r="E152" s="48"/>
      <c r="F152" s="48"/>
      <c r="G152" s="48"/>
      <c r="H152" s="48"/>
      <c r="I152" s="48"/>
      <c r="J152" s="48"/>
      <c r="K152" s="48"/>
      <c r="L152" s="48"/>
      <c r="M152" s="48"/>
    </row>
    <row r="153" spans="1:13" x14ac:dyDescent="0.2">
      <c r="A153" s="48"/>
      <c r="B153" s="48"/>
      <c r="C153" s="48"/>
      <c r="D153" s="48"/>
      <c r="E153" s="48"/>
      <c r="F153" s="48"/>
      <c r="G153" s="48"/>
      <c r="H153" s="48"/>
      <c r="I153" s="48"/>
      <c r="J153" s="48"/>
      <c r="K153" s="48"/>
      <c r="L153" s="48"/>
      <c r="M153" s="48"/>
    </row>
    <row r="154" spans="1:13" x14ac:dyDescent="0.2">
      <c r="A154" s="48"/>
      <c r="B154" s="48"/>
      <c r="C154" s="48"/>
      <c r="D154" s="48"/>
      <c r="E154" s="48"/>
      <c r="F154" s="48"/>
      <c r="G154" s="48"/>
      <c r="H154" s="48"/>
      <c r="I154" s="48"/>
      <c r="J154" s="48"/>
      <c r="K154" s="48"/>
      <c r="L154" s="48"/>
      <c r="M154" s="48"/>
    </row>
    <row r="155" spans="1:13" x14ac:dyDescent="0.2">
      <c r="A155" s="48"/>
      <c r="B155" s="48"/>
      <c r="C155" s="48"/>
      <c r="D155" s="48"/>
      <c r="E155" s="48"/>
      <c r="F155" s="48"/>
      <c r="G155" s="48"/>
      <c r="H155" s="48"/>
      <c r="I155" s="48"/>
      <c r="J155" s="48"/>
      <c r="K155" s="48"/>
      <c r="L155" s="48"/>
      <c r="M155" s="48"/>
    </row>
    <row r="156" spans="1:13" x14ac:dyDescent="0.2">
      <c r="A156" s="48"/>
      <c r="B156" s="48"/>
      <c r="C156" s="48"/>
      <c r="D156" s="48"/>
      <c r="E156" s="48"/>
      <c r="F156" s="48"/>
      <c r="G156" s="48"/>
      <c r="H156" s="48"/>
      <c r="I156" s="48"/>
      <c r="J156" s="48"/>
      <c r="K156" s="48"/>
      <c r="L156" s="48"/>
      <c r="M156" s="48"/>
    </row>
    <row r="157" spans="1:13" x14ac:dyDescent="0.2">
      <c r="A157" s="48"/>
      <c r="B157" s="48"/>
      <c r="C157" s="48"/>
      <c r="D157" s="48"/>
      <c r="E157" s="48"/>
      <c r="F157" s="48"/>
      <c r="G157" s="48"/>
      <c r="H157" s="48"/>
      <c r="I157" s="48"/>
      <c r="J157" s="48"/>
      <c r="K157" s="48"/>
      <c r="L157" s="48"/>
      <c r="M157" s="48"/>
    </row>
    <row r="158" spans="1:13" x14ac:dyDescent="0.2">
      <c r="A158" s="48"/>
      <c r="B158" s="48"/>
      <c r="C158" s="48"/>
      <c r="D158" s="48"/>
      <c r="E158" s="48"/>
      <c r="F158" s="48"/>
      <c r="G158" s="48"/>
      <c r="H158" s="48"/>
      <c r="I158" s="48"/>
      <c r="J158" s="48"/>
      <c r="K158" s="48"/>
      <c r="L158" s="48"/>
      <c r="M158" s="48"/>
    </row>
    <row r="159" spans="1:13" x14ac:dyDescent="0.2">
      <c r="A159" s="48"/>
      <c r="B159" s="48"/>
      <c r="C159" s="48"/>
      <c r="D159" s="48"/>
      <c r="E159" s="48"/>
      <c r="F159" s="48"/>
      <c r="G159" s="48"/>
      <c r="H159" s="48"/>
      <c r="I159" s="48"/>
      <c r="J159" s="48"/>
      <c r="K159" s="48"/>
      <c r="L159" s="48"/>
      <c r="M159" s="48"/>
    </row>
    <row r="160" spans="1:13" x14ac:dyDescent="0.2">
      <c r="A160" s="48"/>
      <c r="B160" s="48"/>
      <c r="C160" s="48"/>
      <c r="D160" s="48"/>
      <c r="E160" s="48"/>
      <c r="F160" s="48"/>
      <c r="G160" s="48"/>
      <c r="H160" s="48"/>
      <c r="I160" s="48"/>
      <c r="J160" s="48"/>
      <c r="K160" s="48"/>
      <c r="L160" s="48"/>
      <c r="M160" s="48"/>
    </row>
    <row r="161" spans="1:13" x14ac:dyDescent="0.2">
      <c r="A161" s="48"/>
      <c r="B161" s="48"/>
      <c r="C161" s="48"/>
      <c r="D161" s="48"/>
      <c r="E161" s="48"/>
      <c r="F161" s="48"/>
      <c r="G161" s="48"/>
      <c r="H161" s="48"/>
      <c r="I161" s="48"/>
      <c r="J161" s="48"/>
      <c r="K161" s="48"/>
      <c r="L161" s="48"/>
      <c r="M161" s="48"/>
    </row>
    <row r="162" spans="1:13" x14ac:dyDescent="0.2">
      <c r="A162" s="48"/>
      <c r="B162" s="48"/>
      <c r="C162" s="48"/>
      <c r="D162" s="48"/>
      <c r="E162" s="48"/>
      <c r="F162" s="48"/>
      <c r="G162" s="48"/>
      <c r="H162" s="48"/>
      <c r="I162" s="48"/>
      <c r="J162" s="48"/>
      <c r="K162" s="48"/>
      <c r="L162" s="48"/>
      <c r="M162" s="48"/>
    </row>
    <row r="163" spans="1:13" x14ac:dyDescent="0.2">
      <c r="A163" s="48"/>
      <c r="B163" s="48"/>
      <c r="C163" s="48"/>
      <c r="D163" s="48"/>
      <c r="E163" s="48"/>
      <c r="F163" s="48"/>
      <c r="G163" s="48"/>
      <c r="H163" s="48"/>
      <c r="I163" s="48"/>
      <c r="J163" s="48"/>
      <c r="K163" s="48"/>
      <c r="L163" s="48"/>
      <c r="M163" s="48"/>
    </row>
    <row r="164" spans="1:13" x14ac:dyDescent="0.2">
      <c r="A164" s="48"/>
      <c r="B164" s="48"/>
      <c r="C164" s="48"/>
      <c r="D164" s="48"/>
      <c r="E164" s="48"/>
      <c r="F164" s="48"/>
      <c r="G164" s="48"/>
      <c r="H164" s="48"/>
      <c r="I164" s="48"/>
      <c r="J164" s="48"/>
      <c r="K164" s="48"/>
      <c r="L164" s="48"/>
      <c r="M164" s="48"/>
    </row>
    <row r="165" spans="1:13" x14ac:dyDescent="0.2">
      <c r="A165" s="48"/>
      <c r="B165" s="48"/>
      <c r="C165" s="48"/>
      <c r="D165" s="48"/>
      <c r="E165" s="48"/>
      <c r="F165" s="48"/>
      <c r="G165" s="48"/>
      <c r="H165" s="48"/>
      <c r="I165" s="48"/>
      <c r="J165" s="48"/>
      <c r="K165" s="48"/>
      <c r="L165" s="48"/>
      <c r="M165" s="48"/>
    </row>
    <row r="166" spans="1:13" x14ac:dyDescent="0.2">
      <c r="A166" s="48"/>
      <c r="B166" s="48"/>
      <c r="C166" s="48"/>
      <c r="D166" s="48"/>
      <c r="E166" s="48"/>
      <c r="F166" s="48"/>
      <c r="G166" s="48"/>
      <c r="H166" s="48"/>
      <c r="I166" s="48"/>
      <c r="J166" s="48"/>
      <c r="K166" s="48"/>
      <c r="L166" s="48"/>
      <c r="M166" s="48"/>
    </row>
    <row r="167" spans="1:13" x14ac:dyDescent="0.2">
      <c r="A167" s="48"/>
      <c r="B167" s="48"/>
      <c r="C167" s="48"/>
      <c r="D167" s="48"/>
      <c r="E167" s="48"/>
      <c r="F167" s="48"/>
      <c r="G167" s="48"/>
      <c r="H167" s="48"/>
      <c r="I167" s="48"/>
      <c r="J167" s="48"/>
      <c r="K167" s="48"/>
      <c r="L167" s="48"/>
      <c r="M167" s="48"/>
    </row>
    <row r="168" spans="1:13" x14ac:dyDescent="0.2">
      <c r="A168" s="48"/>
      <c r="B168" s="48"/>
      <c r="C168" s="48"/>
      <c r="D168" s="48"/>
      <c r="E168" s="48"/>
      <c r="F168" s="48"/>
      <c r="G168" s="48"/>
      <c r="H168" s="48"/>
      <c r="I168" s="48"/>
      <c r="J168" s="48"/>
      <c r="K168" s="48"/>
      <c r="L168" s="48"/>
      <c r="M168" s="48"/>
    </row>
    <row r="169" spans="1:13" x14ac:dyDescent="0.2">
      <c r="A169" s="48"/>
      <c r="B169" s="48"/>
      <c r="C169" s="48"/>
      <c r="D169" s="48"/>
      <c r="E169" s="48"/>
      <c r="F169" s="48"/>
      <c r="G169" s="48"/>
      <c r="H169" s="48"/>
      <c r="I169" s="48"/>
      <c r="J169" s="48"/>
      <c r="K169" s="48"/>
      <c r="L169" s="48"/>
      <c r="M169" s="48"/>
    </row>
    <row r="170" spans="1:13" x14ac:dyDescent="0.2">
      <c r="A170" s="48"/>
      <c r="B170" s="48"/>
      <c r="C170" s="48"/>
      <c r="D170" s="48"/>
      <c r="E170" s="48"/>
      <c r="F170" s="48"/>
      <c r="G170" s="48"/>
      <c r="H170" s="48"/>
      <c r="I170" s="48"/>
      <c r="J170" s="48"/>
      <c r="K170" s="48"/>
      <c r="L170" s="48"/>
      <c r="M170" s="48"/>
    </row>
    <row r="171" spans="1:13" x14ac:dyDescent="0.2">
      <c r="A171" s="48"/>
      <c r="B171" s="48"/>
      <c r="C171" s="48"/>
      <c r="D171" s="48"/>
      <c r="E171" s="48"/>
      <c r="F171" s="48"/>
      <c r="G171" s="48"/>
      <c r="H171" s="48"/>
      <c r="I171" s="48"/>
      <c r="J171" s="48"/>
      <c r="K171" s="48"/>
      <c r="L171" s="48"/>
      <c r="M171" s="48"/>
    </row>
    <row r="172" spans="1:13" x14ac:dyDescent="0.2">
      <c r="A172" s="48"/>
      <c r="B172" s="48"/>
      <c r="C172" s="48"/>
      <c r="D172" s="48"/>
      <c r="E172" s="48"/>
      <c r="F172" s="48"/>
      <c r="G172" s="48"/>
      <c r="H172" s="48"/>
      <c r="I172" s="48"/>
      <c r="J172" s="48"/>
      <c r="K172" s="48"/>
      <c r="L172" s="48"/>
      <c r="M172" s="48"/>
    </row>
    <row r="173" spans="1:13" x14ac:dyDescent="0.2">
      <c r="A173" s="48"/>
      <c r="B173" s="48"/>
      <c r="C173" s="48"/>
      <c r="D173" s="48"/>
      <c r="E173" s="48"/>
      <c r="F173" s="48"/>
      <c r="G173" s="48"/>
      <c r="H173" s="48"/>
      <c r="I173" s="48"/>
      <c r="J173" s="48"/>
      <c r="K173" s="48"/>
      <c r="L173" s="48"/>
      <c r="M173" s="48"/>
    </row>
    <row r="174" spans="1:13" x14ac:dyDescent="0.2">
      <c r="A174" s="48"/>
      <c r="B174" s="48"/>
      <c r="C174" s="48"/>
      <c r="D174" s="48"/>
      <c r="E174" s="48"/>
      <c r="F174" s="48"/>
      <c r="G174" s="48"/>
      <c r="H174" s="48"/>
      <c r="I174" s="48"/>
      <c r="J174" s="48"/>
      <c r="K174" s="48"/>
      <c r="L174" s="48"/>
      <c r="M174" s="48"/>
    </row>
    <row r="175" spans="1:13" x14ac:dyDescent="0.2">
      <c r="A175" s="48"/>
      <c r="B175" s="48"/>
      <c r="C175" s="48"/>
      <c r="D175" s="48"/>
      <c r="E175" s="48"/>
      <c r="F175" s="48"/>
      <c r="G175" s="48"/>
      <c r="H175" s="48"/>
      <c r="I175" s="48"/>
      <c r="J175" s="48"/>
      <c r="K175" s="48"/>
      <c r="L175" s="48"/>
      <c r="M175" s="48"/>
    </row>
    <row r="176" spans="1:13" x14ac:dyDescent="0.2">
      <c r="A176" s="48"/>
      <c r="B176" s="48"/>
      <c r="C176" s="48"/>
      <c r="D176" s="48"/>
      <c r="E176" s="48"/>
      <c r="F176" s="48"/>
      <c r="G176" s="48"/>
      <c r="H176" s="48"/>
      <c r="I176" s="48"/>
      <c r="J176" s="48"/>
      <c r="K176" s="48"/>
      <c r="L176" s="48"/>
      <c r="M176" s="48"/>
    </row>
    <row r="177" spans="1:13" x14ac:dyDescent="0.2">
      <c r="A177" s="48"/>
      <c r="B177" s="48"/>
      <c r="C177" s="48"/>
      <c r="D177" s="48"/>
      <c r="E177" s="48"/>
      <c r="F177" s="48"/>
      <c r="G177" s="48"/>
      <c r="H177" s="48"/>
      <c r="I177" s="48"/>
      <c r="J177" s="48"/>
      <c r="K177" s="48"/>
      <c r="L177" s="48"/>
      <c r="M177" s="48"/>
    </row>
    <row r="178" spans="1:13" x14ac:dyDescent="0.2">
      <c r="A178" s="48"/>
      <c r="B178" s="48"/>
      <c r="C178" s="48"/>
      <c r="D178" s="48"/>
      <c r="E178" s="48"/>
      <c r="F178" s="48"/>
      <c r="G178" s="48"/>
      <c r="H178" s="48"/>
      <c r="I178" s="48"/>
      <c r="J178" s="48"/>
      <c r="K178" s="48"/>
      <c r="L178" s="48"/>
      <c r="M178" s="48"/>
    </row>
    <row r="179" spans="1:13" x14ac:dyDescent="0.2">
      <c r="A179" s="48"/>
      <c r="B179" s="48"/>
      <c r="C179" s="48"/>
      <c r="D179" s="48"/>
      <c r="E179" s="48"/>
      <c r="F179" s="48"/>
      <c r="G179" s="48"/>
      <c r="H179" s="48"/>
      <c r="I179" s="48"/>
      <c r="J179" s="48"/>
      <c r="K179" s="48"/>
      <c r="L179" s="48"/>
      <c r="M179" s="48"/>
    </row>
    <row r="180" spans="1:13" x14ac:dyDescent="0.2">
      <c r="A180" s="48"/>
      <c r="B180" s="48"/>
      <c r="C180" s="48"/>
      <c r="D180" s="48"/>
      <c r="E180" s="48"/>
      <c r="F180" s="48"/>
      <c r="G180" s="48"/>
      <c r="H180" s="48"/>
      <c r="I180" s="48"/>
      <c r="J180" s="48"/>
      <c r="K180" s="48"/>
      <c r="L180" s="48"/>
      <c r="M180" s="48"/>
    </row>
    <row r="181" spans="1:13" x14ac:dyDescent="0.2">
      <c r="A181" s="48"/>
      <c r="B181" s="48"/>
      <c r="C181" s="48"/>
      <c r="D181" s="48"/>
      <c r="E181" s="48"/>
      <c r="F181" s="48"/>
      <c r="G181" s="48"/>
      <c r="H181" s="48"/>
      <c r="I181" s="48"/>
      <c r="J181" s="48"/>
      <c r="K181" s="48"/>
      <c r="L181" s="48"/>
      <c r="M181" s="48"/>
    </row>
    <row r="182" spans="1:13" x14ac:dyDescent="0.2">
      <c r="A182" s="48"/>
      <c r="B182" s="48"/>
      <c r="C182" s="48"/>
      <c r="D182" s="48"/>
      <c r="E182" s="48"/>
      <c r="F182" s="48"/>
      <c r="G182" s="48"/>
      <c r="H182" s="48"/>
      <c r="I182" s="48"/>
      <c r="J182" s="48"/>
      <c r="K182" s="48"/>
      <c r="L182" s="48"/>
      <c r="M182" s="48"/>
    </row>
    <row r="183" spans="1:13" x14ac:dyDescent="0.2">
      <c r="A183" s="48"/>
      <c r="B183" s="48"/>
      <c r="C183" s="48"/>
      <c r="D183" s="48"/>
      <c r="E183" s="48"/>
      <c r="F183" s="48"/>
      <c r="G183" s="48"/>
      <c r="H183" s="48"/>
      <c r="I183" s="48"/>
      <c r="J183" s="48"/>
      <c r="K183" s="48"/>
      <c r="L183" s="48"/>
      <c r="M183" s="48"/>
    </row>
  </sheetData>
  <mergeCells count="51">
    <mergeCell ref="W2:AA2"/>
    <mergeCell ref="A3:Z3"/>
    <mergeCell ref="C5:H5"/>
    <mergeCell ref="I5:L5"/>
    <mergeCell ref="M5:N5"/>
    <mergeCell ref="O5:P5"/>
    <mergeCell ref="Q5:R5"/>
    <mergeCell ref="S5:T5"/>
    <mergeCell ref="U5:V5"/>
    <mergeCell ref="W5:X5"/>
    <mergeCell ref="AT7:AT8"/>
    <mergeCell ref="AA5:AA8"/>
    <mergeCell ref="AO5:AO8"/>
    <mergeCell ref="AB5:AC5"/>
    <mergeCell ref="Y5:Z5"/>
    <mergeCell ref="AD5:AE5"/>
    <mergeCell ref="Y6:Z7"/>
    <mergeCell ref="AG5:AL5"/>
    <mergeCell ref="AG6:AL6"/>
    <mergeCell ref="AG7:AH7"/>
    <mergeCell ref="AM5:AM8"/>
    <mergeCell ref="AS7:AS8"/>
    <mergeCell ref="AB6:AC7"/>
    <mergeCell ref="AN5:AN8"/>
    <mergeCell ref="AD6:AE7"/>
    <mergeCell ref="AF5:AF8"/>
    <mergeCell ref="W27:AA27"/>
    <mergeCell ref="AI7:AJ7"/>
    <mergeCell ref="AK7:AL7"/>
    <mergeCell ref="Z23:AA23"/>
    <mergeCell ref="Q24:W24"/>
    <mergeCell ref="Q25:AA25"/>
    <mergeCell ref="R26:AA26"/>
    <mergeCell ref="Q6:R7"/>
    <mergeCell ref="S6:T7"/>
    <mergeCell ref="A18:B18"/>
    <mergeCell ref="C22:D22"/>
    <mergeCell ref="P22:V22"/>
    <mergeCell ref="X22:AA22"/>
    <mergeCell ref="W6:X7"/>
    <mergeCell ref="U6:V7"/>
    <mergeCell ref="L7:L8"/>
    <mergeCell ref="M6:N7"/>
    <mergeCell ref="O6:P7"/>
    <mergeCell ref="A6:A8"/>
    <mergeCell ref="B6:B8"/>
    <mergeCell ref="C6:D7"/>
    <mergeCell ref="E6:E8"/>
    <mergeCell ref="H6:H8"/>
    <mergeCell ref="F6:F7"/>
    <mergeCell ref="G6:G8"/>
  </mergeCells>
  <phoneticPr fontId="29" type="noConversion"/>
  <pageMargins left="0.25" right="0.25" top="0.75" bottom="0.75" header="0.3" footer="0.3"/>
  <pageSetup paperSize="9" scale="85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18"/>
  <sheetViews>
    <sheetView topLeftCell="R1" workbookViewId="0">
      <selection activeCell="AD7" sqref="AD7"/>
    </sheetView>
  </sheetViews>
  <sheetFormatPr defaultRowHeight="12.75" x14ac:dyDescent="0.2"/>
  <cols>
    <col min="1" max="1" width="29.140625" customWidth="1"/>
    <col min="2" max="2" width="8.7109375" customWidth="1"/>
    <col min="3" max="3" width="6.7109375" customWidth="1"/>
    <col min="4" max="4" width="9.140625" customWidth="1"/>
    <col min="5" max="5" width="7.140625" customWidth="1"/>
    <col min="6" max="6" width="10" customWidth="1"/>
    <col min="7" max="7" width="6.28515625" customWidth="1"/>
    <col min="8" max="8" width="7.85546875" customWidth="1"/>
    <col min="9" max="9" width="5.7109375" customWidth="1"/>
    <col min="10" max="10" width="8.42578125" customWidth="1"/>
    <col min="11" max="11" width="6.140625" customWidth="1"/>
    <col min="12" max="12" width="7.5703125" customWidth="1"/>
    <col min="13" max="13" width="6" customWidth="1"/>
    <col min="14" max="19" width="7.140625" customWidth="1"/>
    <col min="20" max="20" width="8.140625" customWidth="1"/>
    <col min="21" max="21" width="8.7109375" customWidth="1"/>
    <col min="22" max="22" width="8.5703125" customWidth="1"/>
    <col min="23" max="24" width="11.42578125" customWidth="1"/>
    <col min="25" max="25" width="6.7109375" customWidth="1"/>
    <col min="26" max="26" width="8" customWidth="1"/>
    <col min="27" max="27" width="6.85546875" customWidth="1"/>
    <col min="28" max="28" width="9" customWidth="1"/>
    <col min="29" max="29" width="9.7109375" customWidth="1"/>
    <col min="30" max="30" width="10.42578125" customWidth="1"/>
    <col min="31" max="31" width="10.140625" customWidth="1"/>
    <col min="32" max="32" width="12.28515625" customWidth="1"/>
  </cols>
  <sheetData>
    <row r="1" spans="1:32" ht="51" customHeight="1" thickBot="1" x14ac:dyDescent="0.25">
      <c r="A1" s="556" t="s">
        <v>116</v>
      </c>
      <c r="B1" s="558" t="s">
        <v>93</v>
      </c>
      <c r="C1" s="560" t="s">
        <v>117</v>
      </c>
      <c r="D1" s="560"/>
      <c r="E1" s="561" t="s">
        <v>118</v>
      </c>
      <c r="F1" s="562"/>
      <c r="G1" s="563" t="s">
        <v>119</v>
      </c>
      <c r="H1" s="564"/>
      <c r="I1" s="554" t="s">
        <v>9</v>
      </c>
      <c r="J1" s="555"/>
      <c r="K1" s="565" t="s">
        <v>120</v>
      </c>
      <c r="L1" s="566"/>
      <c r="M1" s="570" t="s">
        <v>121</v>
      </c>
      <c r="N1" s="571"/>
      <c r="O1" s="572" t="s">
        <v>122</v>
      </c>
      <c r="P1" s="573"/>
      <c r="Q1" s="572" t="s">
        <v>10</v>
      </c>
      <c r="R1" s="573"/>
      <c r="S1" s="574" t="s">
        <v>123</v>
      </c>
      <c r="T1" s="575"/>
      <c r="U1" s="575"/>
      <c r="V1" s="576"/>
      <c r="W1" s="366" t="s">
        <v>127</v>
      </c>
      <c r="X1" s="366">
        <v>3.4000000000000002E-2</v>
      </c>
      <c r="Y1" s="567" t="s">
        <v>94</v>
      </c>
      <c r="Z1" s="567"/>
      <c r="AA1" s="568" t="s">
        <v>90</v>
      </c>
      <c r="AB1" s="569"/>
      <c r="AC1" s="291" t="s">
        <v>125</v>
      </c>
      <c r="AD1" s="366" t="s">
        <v>128</v>
      </c>
      <c r="AE1" s="367" t="s">
        <v>129</v>
      </c>
      <c r="AF1" s="368" t="s">
        <v>143</v>
      </c>
    </row>
    <row r="2" spans="1:32" ht="12.75" customHeight="1" x14ac:dyDescent="0.2">
      <c r="A2" s="557"/>
      <c r="B2" s="559"/>
      <c r="C2" s="292" t="s">
        <v>95</v>
      </c>
      <c r="D2" s="293">
        <v>6925</v>
      </c>
      <c r="E2" s="294" t="s">
        <v>96</v>
      </c>
      <c r="F2" s="295">
        <v>1356</v>
      </c>
      <c r="G2" s="296" t="s">
        <v>96</v>
      </c>
      <c r="H2" s="297">
        <v>436</v>
      </c>
      <c r="I2" s="296" t="s">
        <v>96</v>
      </c>
      <c r="J2" s="297">
        <v>3592</v>
      </c>
      <c r="K2" s="298" t="s">
        <v>91</v>
      </c>
      <c r="L2" s="335">
        <v>1009</v>
      </c>
      <c r="M2" s="336" t="s">
        <v>91</v>
      </c>
      <c r="N2" s="337">
        <v>87</v>
      </c>
      <c r="O2" s="338" t="s">
        <v>91</v>
      </c>
      <c r="P2" s="335">
        <v>72</v>
      </c>
      <c r="Q2" s="338" t="s">
        <v>91</v>
      </c>
      <c r="R2" s="335">
        <v>25</v>
      </c>
      <c r="S2" s="339" t="s">
        <v>95</v>
      </c>
      <c r="T2" s="340">
        <v>1486</v>
      </c>
      <c r="U2" s="341" t="s">
        <v>124</v>
      </c>
      <c r="V2" s="340">
        <v>582</v>
      </c>
      <c r="W2" s="343"/>
      <c r="X2" s="343"/>
      <c r="Y2" s="300" t="s">
        <v>91</v>
      </c>
      <c r="Z2" s="301">
        <v>359</v>
      </c>
      <c r="AA2" s="302" t="s">
        <v>91</v>
      </c>
      <c r="AB2" s="299">
        <v>2476</v>
      </c>
      <c r="AC2" s="303"/>
      <c r="AD2" s="304"/>
      <c r="AE2" s="305"/>
      <c r="AF2" s="369">
        <v>0.34703533934644298</v>
      </c>
    </row>
    <row r="3" spans="1:32" ht="31.5" x14ac:dyDescent="0.25">
      <c r="A3" s="306" t="s">
        <v>97</v>
      </c>
      <c r="B3" s="307" t="s">
        <v>98</v>
      </c>
      <c r="C3" s="308" t="s">
        <v>99</v>
      </c>
      <c r="D3" s="309" t="s">
        <v>100</v>
      </c>
      <c r="E3" s="310" t="s">
        <v>101</v>
      </c>
      <c r="F3" s="311" t="s">
        <v>102</v>
      </c>
      <c r="G3" s="362" t="s">
        <v>130</v>
      </c>
      <c r="H3" s="362" t="s">
        <v>131</v>
      </c>
      <c r="I3" s="362" t="s">
        <v>132</v>
      </c>
      <c r="J3" s="362" t="s">
        <v>103</v>
      </c>
      <c r="K3" s="362" t="s">
        <v>104</v>
      </c>
      <c r="L3" s="362" t="s">
        <v>133</v>
      </c>
      <c r="M3" s="362" t="s">
        <v>134</v>
      </c>
      <c r="N3" s="362" t="s">
        <v>135</v>
      </c>
      <c r="O3" s="362" t="s">
        <v>105</v>
      </c>
      <c r="P3" s="362" t="s">
        <v>106</v>
      </c>
      <c r="Q3" s="362" t="s">
        <v>136</v>
      </c>
      <c r="R3" s="362" t="s">
        <v>107</v>
      </c>
      <c r="S3" s="362" t="s">
        <v>108</v>
      </c>
      <c r="T3" s="362" t="s">
        <v>109</v>
      </c>
      <c r="U3" s="362" t="s">
        <v>110</v>
      </c>
      <c r="V3" s="362" t="s">
        <v>111</v>
      </c>
      <c r="W3" s="362" t="s">
        <v>112</v>
      </c>
      <c r="X3" s="362" t="s">
        <v>113</v>
      </c>
      <c r="Y3" s="362" t="s">
        <v>114</v>
      </c>
      <c r="Z3" s="362" t="s">
        <v>137</v>
      </c>
      <c r="AA3" s="362" t="s">
        <v>138</v>
      </c>
      <c r="AB3" s="362" t="s">
        <v>139</v>
      </c>
      <c r="AC3" s="362" t="s">
        <v>140</v>
      </c>
      <c r="AD3" s="362" t="s">
        <v>141</v>
      </c>
      <c r="AE3" s="362" t="s">
        <v>142</v>
      </c>
      <c r="AF3" s="370" t="s">
        <v>144</v>
      </c>
    </row>
    <row r="4" spans="1:32" ht="15.75" x14ac:dyDescent="0.25">
      <c r="A4" s="312" t="s">
        <v>77</v>
      </c>
      <c r="B4" s="313">
        <v>33000</v>
      </c>
      <c r="C4" s="314">
        <v>12</v>
      </c>
      <c r="D4" s="315">
        <f>C4*$D$2</f>
        <v>83100</v>
      </c>
      <c r="E4" s="316">
        <v>301</v>
      </c>
      <c r="F4" s="317">
        <f t="shared" ref="F4:F12" si="0">E4*$F$2</f>
        <v>408156</v>
      </c>
      <c r="G4" s="316">
        <v>3</v>
      </c>
      <c r="H4" s="317">
        <f t="shared" ref="H4:H12" si="1">G4*$H$2</f>
        <v>1308</v>
      </c>
      <c r="I4" s="316"/>
      <c r="J4" s="317">
        <f t="shared" ref="J4:J12" si="2">I4*$J$2</f>
        <v>0</v>
      </c>
      <c r="K4" s="318"/>
      <c r="L4" s="315">
        <f t="shared" ref="L4:L12" si="3">K4*$L$2</f>
        <v>0</v>
      </c>
      <c r="M4" s="316">
        <v>301</v>
      </c>
      <c r="N4" s="315">
        <f t="shared" ref="N4:N12" si="4">M4*$N$2</f>
        <v>26187</v>
      </c>
      <c r="O4" s="316"/>
      <c r="P4" s="315">
        <f t="shared" ref="P4:P12" si="5">O4*$P$2</f>
        <v>0</v>
      </c>
      <c r="Q4" s="316">
        <v>300</v>
      </c>
      <c r="R4" s="315">
        <f t="shared" ref="R4:R12" si="6">Q4*$R$2</f>
        <v>7500</v>
      </c>
      <c r="S4" s="316"/>
      <c r="T4" s="317">
        <f t="shared" ref="T4:T12" si="7">S4*$T$2</f>
        <v>0</v>
      </c>
      <c r="U4" s="314"/>
      <c r="V4" s="317">
        <f t="shared" ref="V4:V12" si="8">U4*$V$2</f>
        <v>0</v>
      </c>
      <c r="W4" s="344">
        <f t="shared" ref="W4:W12" si="9">B4+D4+F4+H4+J4+L4+N4+P4+R4+T4+V4</f>
        <v>559251</v>
      </c>
      <c r="X4" s="344">
        <f>(Таблица2[[#This Row],[Колона2]]+Таблица2[[#This Row],[Колона4]]+Таблица2[[#This Row],[Колона6]]+Таблица2[[#This Row],[Колона20]]+Таблица2[[#This Row],[Колона22]])*$X$1</f>
        <v>17824.704000000002</v>
      </c>
      <c r="Y4" s="319">
        <v>1</v>
      </c>
      <c r="Z4" s="315">
        <f t="shared" ref="Z4:Z12" si="10">Y4*$Z$2</f>
        <v>359</v>
      </c>
      <c r="AA4" s="318"/>
      <c r="AB4" s="317">
        <f t="shared" ref="AB4:AB12" si="11">AA4*$AB$2</f>
        <v>0</v>
      </c>
      <c r="AC4" s="320">
        <f>Таблица2[[#This Row],[Колона26]]+Таблица2[[#This Row],[Колона28]]</f>
        <v>359</v>
      </c>
      <c r="AD4" s="354">
        <f>Таблица2[[#This Row],[Колона23]]+Таблица2[[#This Row],[Колона24]]+Таблица2[[#This Row],[Колона29]]</f>
        <v>577434.70400000003</v>
      </c>
      <c r="AE4" s="358">
        <f>Таблица2[[#This Row],[Колона30]]-'2017'!AC9</f>
        <v>-6840.9422765957424</v>
      </c>
      <c r="AF4" s="334">
        <v>6841</v>
      </c>
    </row>
    <row r="5" spans="1:32" ht="31.5" x14ac:dyDescent="0.25">
      <c r="A5" s="312" t="s">
        <v>78</v>
      </c>
      <c r="B5" s="313">
        <v>33000</v>
      </c>
      <c r="C5" s="314">
        <v>17</v>
      </c>
      <c r="D5" s="315">
        <f t="shared" ref="D5:D12" si="12">C5*$D$2</f>
        <v>117725</v>
      </c>
      <c r="E5" s="316">
        <v>412</v>
      </c>
      <c r="F5" s="317">
        <f t="shared" si="0"/>
        <v>558672</v>
      </c>
      <c r="G5" s="316">
        <v>3</v>
      </c>
      <c r="H5" s="317">
        <f t="shared" si="1"/>
        <v>1308</v>
      </c>
      <c r="I5" s="316"/>
      <c r="J5" s="317">
        <f t="shared" si="2"/>
        <v>0</v>
      </c>
      <c r="K5" s="318"/>
      <c r="L5" s="322">
        <f t="shared" si="3"/>
        <v>0</v>
      </c>
      <c r="M5" s="318">
        <v>329</v>
      </c>
      <c r="N5" s="322">
        <f t="shared" si="4"/>
        <v>28623</v>
      </c>
      <c r="O5" s="318"/>
      <c r="P5" s="322">
        <f t="shared" si="5"/>
        <v>0</v>
      </c>
      <c r="Q5" s="318">
        <v>412</v>
      </c>
      <c r="R5" s="322">
        <f t="shared" si="6"/>
        <v>10300</v>
      </c>
      <c r="S5" s="318"/>
      <c r="T5" s="321">
        <f t="shared" si="7"/>
        <v>0</v>
      </c>
      <c r="U5" s="319"/>
      <c r="V5" s="321">
        <f t="shared" si="8"/>
        <v>0</v>
      </c>
      <c r="W5" s="323">
        <f t="shared" si="9"/>
        <v>749628</v>
      </c>
      <c r="X5" s="323">
        <f>(Таблица2[[#This Row],[Колона2]]+Таблица2[[#This Row],[Колона4]]+Таблица2[[#This Row],[Колона6]]+Таблица2[[#This Row],[Колона20]]+Таблица2[[#This Row],[Колона22]])*$X$1</f>
        <v>24119.498000000003</v>
      </c>
      <c r="Y5" s="319"/>
      <c r="Z5" s="322">
        <f t="shared" si="10"/>
        <v>0</v>
      </c>
      <c r="AA5" s="318"/>
      <c r="AB5" s="321">
        <f t="shared" si="11"/>
        <v>0</v>
      </c>
      <c r="AC5" s="320">
        <f>Таблица2[[#This Row],[Колона26]]+Таблица2[[#This Row],[Колона28]]</f>
        <v>0</v>
      </c>
      <c r="AD5" s="355">
        <f>Таблица2[[#This Row],[Колона23]]+Таблица2[[#This Row],[Колона24]]+Таблица2[[#This Row],[Колона29]]</f>
        <v>773747.49800000002</v>
      </c>
      <c r="AE5" s="358">
        <f>Таблица2[[#This Row],[Колона30]]-'2017'!AC10</f>
        <v>-7102.8317872340558</v>
      </c>
      <c r="AF5" s="334">
        <v>7103</v>
      </c>
    </row>
    <row r="6" spans="1:32" ht="15.75" x14ac:dyDescent="0.25">
      <c r="A6" s="312" t="s">
        <v>75</v>
      </c>
      <c r="B6" s="313">
        <v>33000</v>
      </c>
      <c r="C6" s="314">
        <v>26</v>
      </c>
      <c r="D6" s="315">
        <f t="shared" si="12"/>
        <v>180050</v>
      </c>
      <c r="E6" s="316">
        <v>588</v>
      </c>
      <c r="F6" s="317">
        <f t="shared" si="0"/>
        <v>797328</v>
      </c>
      <c r="G6" s="316">
        <v>7</v>
      </c>
      <c r="H6" s="317">
        <f t="shared" si="1"/>
        <v>3052</v>
      </c>
      <c r="I6" s="316"/>
      <c r="J6" s="317">
        <f t="shared" si="2"/>
        <v>0</v>
      </c>
      <c r="K6" s="318">
        <v>3</v>
      </c>
      <c r="L6" s="322">
        <f t="shared" si="3"/>
        <v>3027</v>
      </c>
      <c r="M6" s="318">
        <v>143</v>
      </c>
      <c r="N6" s="322">
        <f t="shared" si="4"/>
        <v>12441</v>
      </c>
      <c r="O6" s="318">
        <v>294</v>
      </c>
      <c r="P6" s="322">
        <f t="shared" si="5"/>
        <v>21168</v>
      </c>
      <c r="Q6" s="318">
        <v>585</v>
      </c>
      <c r="R6" s="322">
        <f t="shared" si="6"/>
        <v>14625</v>
      </c>
      <c r="S6" s="318">
        <v>15</v>
      </c>
      <c r="T6" s="321">
        <f t="shared" si="7"/>
        <v>22290</v>
      </c>
      <c r="U6" s="319">
        <v>327</v>
      </c>
      <c r="V6" s="321">
        <f t="shared" si="8"/>
        <v>190314</v>
      </c>
      <c r="W6" s="323">
        <f t="shared" si="9"/>
        <v>1277295</v>
      </c>
      <c r="X6" s="323">
        <f>(Таблица2[[#This Row],[Колона2]]+Таблица2[[#This Row],[Колона4]]+Таблица2[[#This Row],[Колона6]]+Таблица2[[#This Row],[Колона20]]+Таблица2[[#This Row],[Колона22]])*$X$1</f>
        <v>41581.388000000006</v>
      </c>
      <c r="Y6" s="319">
        <v>33</v>
      </c>
      <c r="Z6" s="322">
        <f t="shared" si="10"/>
        <v>11847</v>
      </c>
      <c r="AA6" s="318">
        <v>33</v>
      </c>
      <c r="AB6" s="321">
        <f t="shared" si="11"/>
        <v>81708</v>
      </c>
      <c r="AC6" s="320">
        <f>Таблица2[[#This Row],[Колона26]]+Таблица2[[#This Row],[Колона28]]</f>
        <v>93555</v>
      </c>
      <c r="AD6" s="355">
        <f>Таблица2[[#This Row],[Колона23]]+Таблица2[[#This Row],[Колона24]]+Таблица2[[#This Row],[Колона29]]</f>
        <v>1412431.388</v>
      </c>
      <c r="AE6" s="358">
        <f>Таблица2[[#This Row],[Колона30]]-'2017'!AC11</f>
        <v>2496.3348085107282</v>
      </c>
      <c r="AF6" s="334">
        <f>-Таблица2[[#This Row],[Колона31]]*AF2</f>
        <v>-866.31639739385832</v>
      </c>
    </row>
    <row r="7" spans="1:32" ht="31.5" x14ac:dyDescent="0.25">
      <c r="A7" s="312" t="s">
        <v>76</v>
      </c>
      <c r="B7" s="313">
        <v>33000</v>
      </c>
      <c r="C7" s="314">
        <v>18</v>
      </c>
      <c r="D7" s="315">
        <f t="shared" si="12"/>
        <v>124650</v>
      </c>
      <c r="E7" s="316">
        <v>415</v>
      </c>
      <c r="F7" s="317">
        <f t="shared" si="0"/>
        <v>562740</v>
      </c>
      <c r="G7" s="316"/>
      <c r="H7" s="317">
        <f t="shared" si="1"/>
        <v>0</v>
      </c>
      <c r="I7" s="316">
        <v>1</v>
      </c>
      <c r="J7" s="317">
        <f t="shared" si="2"/>
        <v>3592</v>
      </c>
      <c r="K7" s="318"/>
      <c r="L7" s="322">
        <f t="shared" si="3"/>
        <v>0</v>
      </c>
      <c r="M7" s="318"/>
      <c r="N7" s="322">
        <f t="shared" si="4"/>
        <v>0</v>
      </c>
      <c r="O7" s="318">
        <v>229</v>
      </c>
      <c r="P7" s="322">
        <f t="shared" si="5"/>
        <v>16488</v>
      </c>
      <c r="Q7" s="318">
        <v>414</v>
      </c>
      <c r="R7" s="322">
        <f t="shared" si="6"/>
        <v>10350</v>
      </c>
      <c r="S7" s="318">
        <v>10</v>
      </c>
      <c r="T7" s="321">
        <f t="shared" si="7"/>
        <v>14860</v>
      </c>
      <c r="U7" s="319">
        <v>229</v>
      </c>
      <c r="V7" s="321">
        <f t="shared" si="8"/>
        <v>133278</v>
      </c>
      <c r="W7" s="323">
        <f t="shared" si="9"/>
        <v>898958</v>
      </c>
      <c r="X7" s="323">
        <f>(Таблица2[[#This Row],[Колона2]]+Таблица2[[#This Row],[Колона4]]+Таблица2[[#This Row],[Колона6]]+Таблица2[[#This Row],[Колона20]]+Таблица2[[#This Row],[Колона22]])*$X$1</f>
        <v>29529.952000000001</v>
      </c>
      <c r="Y7" s="319">
        <v>15</v>
      </c>
      <c r="Z7" s="322">
        <f t="shared" si="10"/>
        <v>5385</v>
      </c>
      <c r="AA7" s="318">
        <v>15</v>
      </c>
      <c r="AB7" s="321">
        <f t="shared" si="11"/>
        <v>37140</v>
      </c>
      <c r="AC7" s="320">
        <f>Таблица2[[#This Row],[Колона26]]+Таблица2[[#This Row],[Колона28]]</f>
        <v>42525</v>
      </c>
      <c r="AD7" s="355">
        <f>Таблица2[[#This Row],[Колона23]]+Таблица2[[#This Row],[Колона24]]+Таблица2[[#This Row],[Колона29]]</f>
        <v>971012.95200000005</v>
      </c>
      <c r="AE7" s="358">
        <f>Таблица2[[#This Row],[Колона30]]-'2017'!AC12</f>
        <v>-53.071936170221306</v>
      </c>
      <c r="AF7" s="334">
        <v>53</v>
      </c>
    </row>
    <row r="8" spans="1:32" ht="31.5" x14ac:dyDescent="0.25">
      <c r="A8" s="312" t="s">
        <v>79</v>
      </c>
      <c r="B8" s="313">
        <v>33000</v>
      </c>
      <c r="C8" s="314">
        <v>18</v>
      </c>
      <c r="D8" s="315">
        <f t="shared" si="12"/>
        <v>124650</v>
      </c>
      <c r="E8" s="316">
        <v>405</v>
      </c>
      <c r="F8" s="317">
        <f t="shared" si="0"/>
        <v>549180</v>
      </c>
      <c r="G8" s="316"/>
      <c r="H8" s="317">
        <f t="shared" si="1"/>
        <v>0</v>
      </c>
      <c r="I8" s="316">
        <v>4</v>
      </c>
      <c r="J8" s="317">
        <f t="shared" si="2"/>
        <v>14368</v>
      </c>
      <c r="K8" s="318"/>
      <c r="L8" s="322">
        <f t="shared" si="3"/>
        <v>0</v>
      </c>
      <c r="M8" s="318"/>
      <c r="N8" s="322">
        <f t="shared" si="4"/>
        <v>0</v>
      </c>
      <c r="O8" s="318">
        <v>260</v>
      </c>
      <c r="P8" s="322">
        <f t="shared" si="5"/>
        <v>18720</v>
      </c>
      <c r="Q8" s="318">
        <v>405</v>
      </c>
      <c r="R8" s="322">
        <f t="shared" si="6"/>
        <v>10125</v>
      </c>
      <c r="S8" s="318">
        <v>15</v>
      </c>
      <c r="T8" s="321">
        <f t="shared" si="7"/>
        <v>22290</v>
      </c>
      <c r="U8" s="319">
        <v>337</v>
      </c>
      <c r="V8" s="321">
        <f t="shared" si="8"/>
        <v>196134</v>
      </c>
      <c r="W8" s="323">
        <f t="shared" si="9"/>
        <v>968467</v>
      </c>
      <c r="X8" s="323">
        <f>(Таблица2[[#This Row],[Колона2]]+Таблица2[[#This Row],[Колона4]]+Таблица2[[#This Row],[Колона6]]+Таблица2[[#This Row],[Колона20]]+Таблица2[[#This Row],[Колона22]])*$X$1</f>
        <v>31458.636000000002</v>
      </c>
      <c r="Y8" s="319">
        <v>25</v>
      </c>
      <c r="Z8" s="322">
        <f t="shared" si="10"/>
        <v>8975</v>
      </c>
      <c r="AA8" s="318">
        <v>25</v>
      </c>
      <c r="AB8" s="321">
        <f t="shared" si="11"/>
        <v>61900</v>
      </c>
      <c r="AC8" s="320">
        <f>Таблица2[[#This Row],[Колона26]]+Таблица2[[#This Row],[Колона28]]</f>
        <v>70875</v>
      </c>
      <c r="AD8" s="355">
        <f>Таблица2[[#This Row],[Колона23]]+Таблица2[[#This Row],[Колона24]]+Таблица2[[#This Row],[Колона29]]</f>
        <v>1070800.6359999999</v>
      </c>
      <c r="AE8" s="358">
        <f>Таблица2[[#This Row],[Колона30]]-'2017'!AC13</f>
        <v>4078.9258936168626</v>
      </c>
      <c r="AF8" s="334">
        <f>-Таблица2[[#This Row],[Колона31]]*AF2</f>
        <v>-1415.531431660321</v>
      </c>
    </row>
    <row r="9" spans="1:32" ht="15.75" x14ac:dyDescent="0.25">
      <c r="A9" s="312" t="s">
        <v>80</v>
      </c>
      <c r="B9" s="313">
        <v>33000</v>
      </c>
      <c r="C9" s="314">
        <v>27</v>
      </c>
      <c r="D9" s="315">
        <f t="shared" si="12"/>
        <v>186975</v>
      </c>
      <c r="E9" s="316">
        <v>648</v>
      </c>
      <c r="F9" s="317">
        <f t="shared" si="0"/>
        <v>878688</v>
      </c>
      <c r="G9" s="316"/>
      <c r="H9" s="317">
        <f t="shared" si="1"/>
        <v>0</v>
      </c>
      <c r="I9" s="316"/>
      <c r="J9" s="317">
        <f t="shared" si="2"/>
        <v>0</v>
      </c>
      <c r="K9" s="318"/>
      <c r="L9" s="322">
        <f t="shared" si="3"/>
        <v>0</v>
      </c>
      <c r="M9" s="318"/>
      <c r="N9" s="322">
        <f t="shared" si="4"/>
        <v>0</v>
      </c>
      <c r="O9" s="318">
        <v>420</v>
      </c>
      <c r="P9" s="322">
        <f t="shared" si="5"/>
        <v>30240</v>
      </c>
      <c r="Q9" s="318">
        <v>648</v>
      </c>
      <c r="R9" s="322">
        <f t="shared" si="6"/>
        <v>16200</v>
      </c>
      <c r="S9" s="318">
        <v>21</v>
      </c>
      <c r="T9" s="321">
        <f t="shared" si="7"/>
        <v>31206</v>
      </c>
      <c r="U9" s="319">
        <v>504</v>
      </c>
      <c r="V9" s="321">
        <f t="shared" si="8"/>
        <v>293328</v>
      </c>
      <c r="W9" s="323">
        <f t="shared" si="9"/>
        <v>1469637</v>
      </c>
      <c r="X9" s="323">
        <f>(Таблица2[[#This Row],[Колона2]]+Таблица2[[#This Row],[Колона4]]+Таблица2[[#This Row],[Колона6]]+Таблица2[[#This Row],[Колона20]]+Таблица2[[#This Row],[Колона22]])*$X$1</f>
        <v>48388.698000000004</v>
      </c>
      <c r="Y9" s="319">
        <v>15</v>
      </c>
      <c r="Z9" s="322">
        <f t="shared" si="10"/>
        <v>5385</v>
      </c>
      <c r="AA9" s="318">
        <v>15</v>
      </c>
      <c r="AB9" s="321">
        <f t="shared" si="11"/>
        <v>37140</v>
      </c>
      <c r="AC9" s="320">
        <f>Таблица2[[#This Row],[Колона26]]+Таблица2[[#This Row],[Колона28]]</f>
        <v>42525</v>
      </c>
      <c r="AD9" s="355">
        <f>Таблица2[[#This Row],[Колона23]]+Таблица2[[#This Row],[Колона24]]+Таблица2[[#This Row],[Колона29]]</f>
        <v>1560550.6980000001</v>
      </c>
      <c r="AE9" s="358">
        <f>Таблица2[[#This Row],[Колона30]]-'2017'!AC14</f>
        <v>-11820.2381702126</v>
      </c>
      <c r="AF9" s="334">
        <v>11820</v>
      </c>
    </row>
    <row r="10" spans="1:32" ht="31.5" x14ac:dyDescent="0.25">
      <c r="A10" s="312" t="s">
        <v>81</v>
      </c>
      <c r="B10" s="313">
        <v>33000</v>
      </c>
      <c r="C10" s="314">
        <v>7</v>
      </c>
      <c r="D10" s="315">
        <f t="shared" si="12"/>
        <v>48475</v>
      </c>
      <c r="E10" s="316">
        <v>66</v>
      </c>
      <c r="F10" s="317">
        <f t="shared" si="0"/>
        <v>89496</v>
      </c>
      <c r="G10" s="316">
        <v>21</v>
      </c>
      <c r="H10" s="317">
        <f t="shared" si="1"/>
        <v>9156</v>
      </c>
      <c r="I10" s="316"/>
      <c r="J10" s="317">
        <f t="shared" si="2"/>
        <v>0</v>
      </c>
      <c r="K10" s="318"/>
      <c r="L10" s="322">
        <f t="shared" si="3"/>
        <v>0</v>
      </c>
      <c r="M10" s="318"/>
      <c r="N10" s="322">
        <f t="shared" si="4"/>
        <v>0</v>
      </c>
      <c r="O10" s="318">
        <v>34</v>
      </c>
      <c r="P10" s="322">
        <f t="shared" si="5"/>
        <v>2448</v>
      </c>
      <c r="Q10" s="318">
        <v>66</v>
      </c>
      <c r="R10" s="322">
        <f t="shared" si="6"/>
        <v>1650</v>
      </c>
      <c r="S10" s="318">
        <v>2</v>
      </c>
      <c r="T10" s="321">
        <f t="shared" si="7"/>
        <v>2972</v>
      </c>
      <c r="U10" s="319">
        <v>50</v>
      </c>
      <c r="V10" s="321">
        <f t="shared" si="8"/>
        <v>29100</v>
      </c>
      <c r="W10" s="323">
        <f t="shared" si="9"/>
        <v>216297</v>
      </c>
      <c r="X10" s="323">
        <f>(Таблица2[[#This Row],[Колона2]]+Таблица2[[#This Row],[Колона4]]+Таблица2[[#This Row],[Колона6]]+Таблица2[[#This Row],[Колона20]]+Таблица2[[#This Row],[Колона22]])*$X$1</f>
        <v>6903.4620000000004</v>
      </c>
      <c r="Y10" s="319">
        <v>5</v>
      </c>
      <c r="Z10" s="322">
        <f t="shared" si="10"/>
        <v>1795</v>
      </c>
      <c r="AA10" s="318">
        <v>5</v>
      </c>
      <c r="AB10" s="321">
        <f t="shared" si="11"/>
        <v>12380</v>
      </c>
      <c r="AC10" s="320">
        <f>Таблица2[[#This Row],[Колона26]]+Таблица2[[#This Row],[Колона28]]</f>
        <v>14175</v>
      </c>
      <c r="AD10" s="355">
        <f>Таблица2[[#This Row],[Колона23]]+Таблица2[[#This Row],[Колона24]]+Таблица2[[#This Row],[Колона29]]</f>
        <v>237375.462</v>
      </c>
      <c r="AE10" s="358">
        <f>Таблица2[[#This Row],[Колона30]]-'2017'!AC15</f>
        <v>33699.190723404259</v>
      </c>
      <c r="AF10" s="334">
        <f>-Таблица2[[#This Row],[Колона31]]*AF2</f>
        <v>-11694.8100883971</v>
      </c>
    </row>
    <row r="11" spans="1:32" ht="31.5" x14ac:dyDescent="0.25">
      <c r="A11" s="312" t="s">
        <v>82</v>
      </c>
      <c r="B11" s="313">
        <v>33000</v>
      </c>
      <c r="C11" s="314">
        <v>7</v>
      </c>
      <c r="D11" s="315">
        <f t="shared" si="12"/>
        <v>48475</v>
      </c>
      <c r="E11" s="316">
        <v>133</v>
      </c>
      <c r="F11" s="317">
        <f t="shared" si="0"/>
        <v>180348</v>
      </c>
      <c r="G11" s="316">
        <v>13</v>
      </c>
      <c r="H11" s="317">
        <f t="shared" si="1"/>
        <v>5668</v>
      </c>
      <c r="I11" s="316"/>
      <c r="J11" s="317">
        <f t="shared" si="2"/>
        <v>0</v>
      </c>
      <c r="K11" s="318"/>
      <c r="L11" s="322">
        <f t="shared" si="3"/>
        <v>0</v>
      </c>
      <c r="M11" s="318"/>
      <c r="N11" s="322">
        <f t="shared" si="4"/>
        <v>0</v>
      </c>
      <c r="O11" s="318">
        <v>71</v>
      </c>
      <c r="P11" s="322">
        <f t="shared" si="5"/>
        <v>5112</v>
      </c>
      <c r="Q11" s="318">
        <v>133</v>
      </c>
      <c r="R11" s="322">
        <f t="shared" si="6"/>
        <v>3325</v>
      </c>
      <c r="S11" s="318">
        <v>6</v>
      </c>
      <c r="T11" s="321">
        <f t="shared" si="7"/>
        <v>8916</v>
      </c>
      <c r="U11" s="319">
        <v>133</v>
      </c>
      <c r="V11" s="321">
        <f t="shared" si="8"/>
        <v>77406</v>
      </c>
      <c r="W11" s="323">
        <f t="shared" si="9"/>
        <v>362250</v>
      </c>
      <c r="X11" s="323">
        <f>(Таблица2[[#This Row],[Колона2]]+Таблица2[[#This Row],[Колона4]]+Таблица2[[#This Row],[Колона6]]+Таблица2[[#This Row],[Колона20]]+Таблица2[[#This Row],[Колона22]])*$X$1</f>
        <v>11836.93</v>
      </c>
      <c r="Y11" s="319">
        <v>1</v>
      </c>
      <c r="Z11" s="322">
        <f t="shared" si="10"/>
        <v>359</v>
      </c>
      <c r="AA11" s="318"/>
      <c r="AB11" s="321">
        <f t="shared" si="11"/>
        <v>0</v>
      </c>
      <c r="AC11" s="320">
        <f>Таблица2[[#This Row],[Колона26]]+Таблица2[[#This Row],[Колона28]]</f>
        <v>359</v>
      </c>
      <c r="AD11" s="355">
        <f>Таблица2[[#This Row],[Колона23]]+Таблица2[[#This Row],[Колона24]]+Таблица2[[#This Row],[Колона29]]</f>
        <v>374445.93</v>
      </c>
      <c r="AE11" s="358">
        <f>Таблица2[[#This Row],[Колона30]]-'2017'!AC16</f>
        <v>12815.156063829781</v>
      </c>
      <c r="AF11" s="334">
        <f>-Таблица2[[#This Row],[Колона31]]*AF2</f>
        <v>-4447.3120333887946</v>
      </c>
    </row>
    <row r="12" spans="1:32" ht="31.5" x14ac:dyDescent="0.25">
      <c r="A12" s="324" t="s">
        <v>83</v>
      </c>
      <c r="B12" s="313">
        <v>33000</v>
      </c>
      <c r="C12" s="325">
        <v>4</v>
      </c>
      <c r="D12" s="315">
        <f t="shared" si="12"/>
        <v>27700</v>
      </c>
      <c r="E12" s="326">
        <v>40</v>
      </c>
      <c r="F12" s="327">
        <f t="shared" si="0"/>
        <v>54240</v>
      </c>
      <c r="G12" s="326">
        <v>26</v>
      </c>
      <c r="H12" s="327">
        <f t="shared" si="1"/>
        <v>11336</v>
      </c>
      <c r="I12" s="326"/>
      <c r="J12" s="327">
        <f t="shared" si="2"/>
        <v>0</v>
      </c>
      <c r="K12" s="326"/>
      <c r="L12" s="328">
        <f t="shared" si="3"/>
        <v>0</v>
      </c>
      <c r="M12" s="318"/>
      <c r="N12" s="322">
        <f t="shared" si="4"/>
        <v>0</v>
      </c>
      <c r="O12" s="318">
        <v>26</v>
      </c>
      <c r="P12" s="322">
        <f t="shared" si="5"/>
        <v>1872</v>
      </c>
      <c r="Q12" s="318">
        <v>40</v>
      </c>
      <c r="R12" s="322">
        <f t="shared" si="6"/>
        <v>1000</v>
      </c>
      <c r="S12" s="318">
        <v>2</v>
      </c>
      <c r="T12" s="321">
        <f t="shared" si="7"/>
        <v>2972</v>
      </c>
      <c r="U12" s="319">
        <v>40</v>
      </c>
      <c r="V12" s="321">
        <f t="shared" si="8"/>
        <v>23280</v>
      </c>
      <c r="W12" s="330">
        <f t="shared" si="9"/>
        <v>155400</v>
      </c>
      <c r="X12" s="330">
        <f>(Таблица2[[#This Row],[Колона2]]+Таблица2[[#This Row],[Колона4]]+Таблица2[[#This Row],[Колона6]]+Таблица2[[#This Row],[Колона20]]+Таблица2[[#This Row],[Колона22]])*$X$1</f>
        <v>4800.5280000000002</v>
      </c>
      <c r="Y12" s="325">
        <v>9</v>
      </c>
      <c r="Z12" s="328">
        <f t="shared" si="10"/>
        <v>3231</v>
      </c>
      <c r="AA12" s="326"/>
      <c r="AB12" s="327">
        <f t="shared" si="11"/>
        <v>0</v>
      </c>
      <c r="AC12" s="329">
        <f>Таблица2[[#This Row],[Колона26]]+Таблица2[[#This Row],[Колона28]]</f>
        <v>3231</v>
      </c>
      <c r="AD12" s="356">
        <f>Таблица2[[#This Row],[Колона23]]+Таблица2[[#This Row],[Колона24]]+Таблица2[[#This Row],[Колона29]]</f>
        <v>163431.52799999999</v>
      </c>
      <c r="AE12" s="358">
        <f>Таблица2[[#This Row],[Колона30]]-'2017'!AC17</f>
        <v>21303.272680851049</v>
      </c>
      <c r="AF12" s="334">
        <f>-Таблица2[[#This Row],[Колона31]]*AF2</f>
        <v>-7392.9884639889515</v>
      </c>
    </row>
    <row r="13" spans="1:32" ht="16.5" thickBot="1" x14ac:dyDescent="0.25">
      <c r="A13" s="324" t="s">
        <v>115</v>
      </c>
      <c r="B13" s="331">
        <f>SUBTOTAL(109,Таблица2[Колона2])</f>
        <v>297000</v>
      </c>
      <c r="C13" s="351">
        <f>SUBTOTAL(109,Таблица2[Колона3])</f>
        <v>136</v>
      </c>
      <c r="D13" s="352">
        <f>SUBTOTAL(109,Таблица2[Колона4])</f>
        <v>941800</v>
      </c>
      <c r="E13" s="332">
        <f>SUBTOTAL(109,Таблица2[Колона5])</f>
        <v>3008</v>
      </c>
      <c r="F13" s="333">
        <f>SUBTOTAL(109,Таблица2[Колона6])</f>
        <v>4078848</v>
      </c>
      <c r="G13" s="332">
        <f>SUBTOTAL(109,Таблица2[Колона7])</f>
        <v>73</v>
      </c>
      <c r="H13" s="333">
        <f>SUBTOTAL(109,Таблица2[Колона8])</f>
        <v>31828</v>
      </c>
      <c r="I13" s="332">
        <f>SUBTOTAL(109,Таблица2[Колона9])</f>
        <v>5</v>
      </c>
      <c r="J13" s="333">
        <f>SUBTOTAL(109,Таблица2[Колона10])</f>
        <v>17960</v>
      </c>
      <c r="K13" s="332">
        <f>SUBTOTAL(109,Таблица2[Колона11])</f>
        <v>3</v>
      </c>
      <c r="L13" s="353">
        <f>SUBTOTAL(109,Таблица2[Колона12])</f>
        <v>3027</v>
      </c>
      <c r="M13" s="332">
        <f>SUBTOTAL(109,Таблица2[Колона13])</f>
        <v>773</v>
      </c>
      <c r="N13" s="353">
        <f>SUBTOTAL(109,Таблица2[Колона14])</f>
        <v>67251</v>
      </c>
      <c r="O13" s="332">
        <f>SUBTOTAL(109,Таблица2[Колона15])</f>
        <v>1334</v>
      </c>
      <c r="P13" s="353">
        <f>SUBTOTAL(109,Таблица2[Колона16])</f>
        <v>96048</v>
      </c>
      <c r="Q13" s="332">
        <f>SUBTOTAL(109,Таблица2[Колона17])</f>
        <v>3003</v>
      </c>
      <c r="R13" s="353">
        <f>SUBTOTAL(109,Таблица2[Колона18])</f>
        <v>75075</v>
      </c>
      <c r="S13" s="332">
        <f>SUBTOTAL(109,Таблица2[Колона19])</f>
        <v>71</v>
      </c>
      <c r="T13" s="333">
        <f>SUBTOTAL(109,Таблица2[Колона20])</f>
        <v>105506</v>
      </c>
      <c r="U13" s="342">
        <f>SUBTOTAL(109,Таблица2[Колона21])</f>
        <v>1620</v>
      </c>
      <c r="V13" s="333">
        <f>SUBTOTAL(109,Таблица2[Колона22])</f>
        <v>942840</v>
      </c>
      <c r="W13" s="331">
        <f>SUBTOTAL(109,Таблица2[Колона23])</f>
        <v>6657183</v>
      </c>
      <c r="X13" s="331">
        <f>SUBTOTAL(109,Таблица2[Колона24])</f>
        <v>216443.796</v>
      </c>
      <c r="Y13" s="351">
        <f>SUBTOTAL(109,Таблица2[Колона25])</f>
        <v>104</v>
      </c>
      <c r="Z13" s="352">
        <f>SUBTOTAL(109,Таблица2[Колона26])</f>
        <v>37336</v>
      </c>
      <c r="AA13" s="332">
        <f>SUBTOTAL(109,Таблица2[Колона27])</f>
        <v>93</v>
      </c>
      <c r="AB13" s="333">
        <f>SUBTOTAL(109,Таблица2[Колона28])</f>
        <v>230268</v>
      </c>
      <c r="AC13" s="350">
        <f>SUBTOTAL(109,Таблица2[Колона29])</f>
        <v>267604</v>
      </c>
      <c r="AD13" s="357">
        <f>SUBTOTAL(109,Таблица2[Колона30])</f>
        <v>7141230.7959999992</v>
      </c>
      <c r="AE13" s="359">
        <f>SUBTOTAL(109,Таблица2[Колона31])</f>
        <v>48575.79600000006</v>
      </c>
      <c r="AF13" s="371">
        <f>SUBTOTAL(109,Таблица2[Колона32])</f>
        <v>4.1585170971302432E-2</v>
      </c>
    </row>
    <row r="15" spans="1:32" x14ac:dyDescent="0.2">
      <c r="AC15">
        <v>-25817</v>
      </c>
      <c r="AD15">
        <v>74393</v>
      </c>
    </row>
    <row r="18" spans="29:29" x14ac:dyDescent="0.2">
      <c r="AC18" s="334"/>
    </row>
  </sheetData>
  <mergeCells count="13">
    <mergeCell ref="K1:L1"/>
    <mergeCell ref="Y1:Z1"/>
    <mergeCell ref="AA1:AB1"/>
    <mergeCell ref="M1:N1"/>
    <mergeCell ref="O1:P1"/>
    <mergeCell ref="Q1:R1"/>
    <mergeCell ref="S1:V1"/>
    <mergeCell ref="I1:J1"/>
    <mergeCell ref="A1:A2"/>
    <mergeCell ref="B1:B2"/>
    <mergeCell ref="C1:D1"/>
    <mergeCell ref="E1:F1"/>
    <mergeCell ref="G1:H1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20"/>
  <sheetViews>
    <sheetView tabSelected="1" zoomScale="90" zoomScaleNormal="90" workbookViewId="0">
      <selection activeCell="AG18" sqref="AG18"/>
    </sheetView>
  </sheetViews>
  <sheetFormatPr defaultRowHeight="12.75" x14ac:dyDescent="0.2"/>
  <cols>
    <col min="1" max="1" width="29.140625" customWidth="1"/>
    <col min="2" max="2" width="8.7109375" customWidth="1"/>
    <col min="3" max="3" width="6.7109375" customWidth="1"/>
    <col min="4" max="4" width="8.140625" customWidth="1"/>
    <col min="5" max="5" width="8" customWidth="1"/>
    <col min="6" max="6" width="13.42578125" customWidth="1"/>
    <col min="7" max="7" width="9.42578125" customWidth="1"/>
    <col min="8" max="8" width="13.140625" customWidth="1"/>
    <col min="9" max="9" width="10.5703125" customWidth="1"/>
    <col min="10" max="10" width="8.140625" customWidth="1"/>
    <col min="11" max="11" width="7.85546875" customWidth="1"/>
    <col min="12" max="12" width="5.7109375" customWidth="1"/>
    <col min="13" max="13" width="8.42578125" customWidth="1"/>
    <col min="14" max="14" width="6.140625" customWidth="1"/>
    <col min="15" max="15" width="7.5703125" customWidth="1"/>
    <col min="16" max="16" width="6" customWidth="1"/>
    <col min="17" max="20" width="7.140625" customWidth="1"/>
    <col min="21" max="21" width="8.28515625" customWidth="1"/>
    <col min="22" max="22" width="7.140625" customWidth="1"/>
    <col min="23" max="23" width="8.140625" customWidth="1"/>
    <col min="24" max="24" width="8.7109375" customWidth="1"/>
    <col min="25" max="25" width="8.5703125" customWidth="1"/>
    <col min="26" max="26" width="13.28515625" customWidth="1"/>
    <col min="28" max="28" width="13.5703125" customWidth="1"/>
    <col min="29" max="29" width="6.7109375" customWidth="1"/>
    <col min="30" max="30" width="8" customWidth="1"/>
    <col min="31" max="31" width="6.85546875" customWidth="1"/>
    <col min="32" max="32" width="9" customWidth="1"/>
    <col min="33" max="33" width="9.7109375" customWidth="1"/>
    <col min="34" max="34" width="7" customWidth="1"/>
    <col min="35" max="35" width="6.5703125" customWidth="1"/>
    <col min="36" max="36" width="7.42578125" customWidth="1"/>
    <col min="38" max="38" width="16.42578125" hidden="1" customWidth="1"/>
    <col min="39" max="39" width="15" bestFit="1" customWidth="1"/>
  </cols>
  <sheetData>
    <row r="1" spans="1:39" ht="18" customHeight="1" thickBot="1" x14ac:dyDescent="0.25">
      <c r="A1" s="449" t="s">
        <v>157</v>
      </c>
      <c r="E1" s="594"/>
      <c r="F1" s="595"/>
      <c r="G1" s="372"/>
      <c r="H1" s="372"/>
      <c r="I1" s="372"/>
      <c r="AH1" s="379"/>
      <c r="AI1" s="379"/>
      <c r="AJ1" s="379"/>
      <c r="AK1" s="585" t="s">
        <v>64</v>
      </c>
    </row>
    <row r="2" spans="1:39" ht="51" customHeight="1" thickBot="1" x14ac:dyDescent="0.25">
      <c r="A2" s="556" t="s">
        <v>116</v>
      </c>
      <c r="B2" s="558" t="s">
        <v>93</v>
      </c>
      <c r="C2" s="560" t="s">
        <v>117</v>
      </c>
      <c r="D2" s="560"/>
      <c r="E2" s="561" t="s">
        <v>118</v>
      </c>
      <c r="F2" s="584"/>
      <c r="G2" s="416" t="s">
        <v>155</v>
      </c>
      <c r="H2" s="378">
        <f>Таблица28[[#Totals],[Колона6]]-G3</f>
        <v>4249723.0010399995</v>
      </c>
      <c r="I2" s="373"/>
      <c r="J2" s="560" t="s">
        <v>119</v>
      </c>
      <c r="K2" s="564"/>
      <c r="L2" s="554" t="s">
        <v>9</v>
      </c>
      <c r="M2" s="555"/>
      <c r="N2" s="565" t="s">
        <v>120</v>
      </c>
      <c r="O2" s="566"/>
      <c r="P2" s="570" t="s">
        <v>121</v>
      </c>
      <c r="Q2" s="571"/>
      <c r="R2" s="572" t="s">
        <v>122</v>
      </c>
      <c r="S2" s="573"/>
      <c r="T2" s="572" t="s">
        <v>10</v>
      </c>
      <c r="U2" s="573"/>
      <c r="V2" s="574" t="s">
        <v>123</v>
      </c>
      <c r="W2" s="575"/>
      <c r="X2" s="575"/>
      <c r="Y2" s="576"/>
      <c r="Z2" s="388" t="s">
        <v>146</v>
      </c>
      <c r="AA2" s="380" t="s">
        <v>145</v>
      </c>
      <c r="AB2" s="393" t="s">
        <v>147</v>
      </c>
      <c r="AC2" s="568" t="s">
        <v>94</v>
      </c>
      <c r="AD2" s="569"/>
      <c r="AE2" s="568" t="s">
        <v>90</v>
      </c>
      <c r="AF2" s="569"/>
      <c r="AG2" s="389" t="s">
        <v>125</v>
      </c>
      <c r="AH2" s="588" t="s">
        <v>152</v>
      </c>
      <c r="AI2" s="589"/>
      <c r="AJ2" s="590"/>
      <c r="AK2" s="586"/>
      <c r="AL2" s="581" t="s">
        <v>153</v>
      </c>
      <c r="AM2" s="578" t="s">
        <v>156</v>
      </c>
    </row>
    <row r="3" spans="1:39" ht="12.75" customHeight="1" thickBot="1" x14ac:dyDescent="0.25">
      <c r="A3" s="557"/>
      <c r="B3" s="559"/>
      <c r="C3" s="292" t="s">
        <v>95</v>
      </c>
      <c r="D3" s="293">
        <v>7229.73</v>
      </c>
      <c r="E3" s="294" t="s">
        <v>96</v>
      </c>
      <c r="F3" s="365">
        <f>1370+(0.034*1370)</f>
        <v>1416.58</v>
      </c>
      <c r="G3" s="375">
        <f>Таблица28[[#Totals],[Колона6]]*0.2%</f>
        <v>8516.4789599999986</v>
      </c>
      <c r="H3" s="374"/>
      <c r="I3" s="374"/>
      <c r="J3" s="292" t="s">
        <v>96</v>
      </c>
      <c r="K3" s="297">
        <v>436</v>
      </c>
      <c r="L3" s="296" t="s">
        <v>96</v>
      </c>
      <c r="M3" s="297">
        <v>3592</v>
      </c>
      <c r="N3" s="298" t="s">
        <v>91</v>
      </c>
      <c r="O3" s="335">
        <v>1009</v>
      </c>
      <c r="P3" s="336" t="s">
        <v>91</v>
      </c>
      <c r="Q3" s="337">
        <v>87</v>
      </c>
      <c r="R3" s="338" t="s">
        <v>91</v>
      </c>
      <c r="S3" s="335">
        <v>72</v>
      </c>
      <c r="T3" s="338" t="s">
        <v>91</v>
      </c>
      <c r="U3" s="335">
        <v>25</v>
      </c>
      <c r="V3" s="339" t="s">
        <v>95</v>
      </c>
      <c r="W3" s="340">
        <f>1486+(1486*0.034)</f>
        <v>1536.5239999999999</v>
      </c>
      <c r="X3" s="341" t="s">
        <v>124</v>
      </c>
      <c r="Y3" s="340">
        <f>582+(582*0.034)</f>
        <v>601.78800000000001</v>
      </c>
      <c r="Z3" s="343"/>
      <c r="AA3" s="383"/>
      <c r="AB3" s="305"/>
      <c r="AC3" s="302" t="s">
        <v>91</v>
      </c>
      <c r="AD3" s="381">
        <v>359</v>
      </c>
      <c r="AE3" s="302" t="s">
        <v>91</v>
      </c>
      <c r="AF3" s="299">
        <v>2476</v>
      </c>
      <c r="AG3" s="390"/>
      <c r="AH3" s="591" t="s">
        <v>148</v>
      </c>
      <c r="AI3" s="592"/>
      <c r="AJ3" s="593"/>
      <c r="AK3" s="586"/>
      <c r="AL3" s="582"/>
      <c r="AM3" s="579"/>
    </row>
    <row r="4" spans="1:39" s="401" customFormat="1" ht="23.25" customHeight="1" x14ac:dyDescent="0.2">
      <c r="A4" s="399" t="s">
        <v>97</v>
      </c>
      <c r="B4" s="400" t="s">
        <v>98</v>
      </c>
      <c r="C4" s="400" t="s">
        <v>99</v>
      </c>
      <c r="D4" s="400" t="s">
        <v>100</v>
      </c>
      <c r="E4" s="400" t="s">
        <v>101</v>
      </c>
      <c r="F4" s="400" t="s">
        <v>102</v>
      </c>
      <c r="G4" s="400" t="s">
        <v>130</v>
      </c>
      <c r="H4" s="400" t="s">
        <v>131</v>
      </c>
      <c r="I4" s="400" t="s">
        <v>132</v>
      </c>
      <c r="J4" s="400" t="s">
        <v>103</v>
      </c>
      <c r="K4" s="400" t="s">
        <v>104</v>
      </c>
      <c r="L4" s="400" t="s">
        <v>133</v>
      </c>
      <c r="M4" s="400" t="s">
        <v>134</v>
      </c>
      <c r="N4" s="400" t="s">
        <v>135</v>
      </c>
      <c r="O4" s="400" t="s">
        <v>105</v>
      </c>
      <c r="P4" s="400" t="s">
        <v>106</v>
      </c>
      <c r="Q4" s="400" t="s">
        <v>136</v>
      </c>
      <c r="R4" s="400" t="s">
        <v>107</v>
      </c>
      <c r="S4" s="400" t="s">
        <v>108</v>
      </c>
      <c r="T4" s="400" t="s">
        <v>109</v>
      </c>
      <c r="U4" s="400" t="s">
        <v>110</v>
      </c>
      <c r="V4" s="400" t="s">
        <v>111</v>
      </c>
      <c r="W4" s="400" t="s">
        <v>112</v>
      </c>
      <c r="X4" s="400" t="s">
        <v>113</v>
      </c>
      <c r="Y4" s="400" t="s">
        <v>114</v>
      </c>
      <c r="Z4" s="400" t="s">
        <v>137</v>
      </c>
      <c r="AA4" s="400" t="s">
        <v>138</v>
      </c>
      <c r="AB4" s="400" t="s">
        <v>139</v>
      </c>
      <c r="AC4" s="400" t="s">
        <v>140</v>
      </c>
      <c r="AD4" s="400" t="s">
        <v>141</v>
      </c>
      <c r="AE4" s="400" t="s">
        <v>142</v>
      </c>
      <c r="AF4" s="400" t="s">
        <v>144</v>
      </c>
      <c r="AG4" s="400" t="s">
        <v>154</v>
      </c>
      <c r="AH4" s="410" t="s">
        <v>149</v>
      </c>
      <c r="AI4" s="411" t="s">
        <v>150</v>
      </c>
      <c r="AJ4" s="412" t="s">
        <v>151</v>
      </c>
      <c r="AK4" s="587"/>
      <c r="AL4" s="583"/>
      <c r="AM4" s="580"/>
    </row>
    <row r="5" spans="1:39" ht="15.75" x14ac:dyDescent="0.25">
      <c r="A5" s="312" t="s">
        <v>77</v>
      </c>
      <c r="B5" s="313">
        <v>34122</v>
      </c>
      <c r="C5" s="314">
        <v>12</v>
      </c>
      <c r="D5" s="315">
        <f>C5*$D$3</f>
        <v>86756.76</v>
      </c>
      <c r="E5" s="441">
        <v>300</v>
      </c>
      <c r="F5" s="442">
        <f t="shared" ref="F5:F13" si="0">E5*$F$3</f>
        <v>424974</v>
      </c>
      <c r="G5" s="443"/>
      <c r="H5" s="443">
        <f>$H$2/Таблица28[[#Totals],[Колона5]]*Таблица28[[#This Row],[Колона5]]</f>
        <v>424124.05199999991</v>
      </c>
      <c r="I5" s="443">
        <f>Таблица28[[#This Row],[Колона7]]+Таблица28[[#This Row],[Колона8]]</f>
        <v>424124.05199999991</v>
      </c>
      <c r="J5" s="444">
        <v>3</v>
      </c>
      <c r="K5" s="445">
        <f t="shared" ref="K5:K13" si="1">J5*$K$3</f>
        <v>1308</v>
      </c>
      <c r="L5" s="441">
        <v>1</v>
      </c>
      <c r="M5" s="445">
        <f t="shared" ref="M5:M13" si="2">L5*$M$3</f>
        <v>3592</v>
      </c>
      <c r="N5" s="318"/>
      <c r="O5" s="315">
        <f t="shared" ref="O5:O13" si="3">N5*$O$3</f>
        <v>0</v>
      </c>
      <c r="P5" s="316">
        <v>301</v>
      </c>
      <c r="Q5" s="315">
        <f t="shared" ref="Q5:Q13" si="4">P5*$Q$3</f>
        <v>26187</v>
      </c>
      <c r="R5" s="316"/>
      <c r="S5" s="315">
        <f t="shared" ref="S5:S13" si="5">R5*$S$3</f>
        <v>0</v>
      </c>
      <c r="T5" s="316">
        <v>300</v>
      </c>
      <c r="U5" s="315">
        <f t="shared" ref="U5:U13" si="6">T5*$U$3</f>
        <v>7500</v>
      </c>
      <c r="V5" s="316"/>
      <c r="W5" s="317">
        <f t="shared" ref="W5:W13" si="7">V5*$W$3</f>
        <v>0</v>
      </c>
      <c r="X5" s="314"/>
      <c r="Y5" s="317">
        <f t="shared" ref="Y5:Y13" si="8">X5*$Y$3</f>
        <v>0</v>
      </c>
      <c r="Z5" s="344">
        <f>B5+D5+I5+K5+M5+O5+Q5+S5+U5+W5+Y5</f>
        <v>583589.81199999992</v>
      </c>
      <c r="AA5" s="384">
        <v>6841</v>
      </c>
      <c r="AB5" s="386">
        <f>Таблица28[[#This Row],[Колона26]]+Таблица28[[#This Row],[Колона27]]</f>
        <v>590430.81199999992</v>
      </c>
      <c r="AC5" s="318">
        <v>1</v>
      </c>
      <c r="AD5" s="317">
        <f t="shared" ref="AD5:AD13" si="9">AC5*$AD$3</f>
        <v>359</v>
      </c>
      <c r="AE5" s="318"/>
      <c r="AF5" s="317">
        <f t="shared" ref="AF5:AF13" si="10">AE5*$AF$3</f>
        <v>0</v>
      </c>
      <c r="AG5" s="391">
        <f>Таблица28[[#This Row],[Колона30]]+Таблица28[[#This Row],[Колона32]]</f>
        <v>359</v>
      </c>
      <c r="AH5" s="402"/>
      <c r="AI5" s="395"/>
      <c r="AJ5" s="403"/>
      <c r="AK5" s="398">
        <f>AH5+AI5+AJ5</f>
        <v>0</v>
      </c>
      <c r="AL5" s="435">
        <f>Таблица28[[#This Row],[Колона28]]+Таблица28[[#This Row],[Колона33]]+AK5</f>
        <v>590789.81199999992</v>
      </c>
      <c r="AM5" s="437">
        <v>590790</v>
      </c>
    </row>
    <row r="6" spans="1:39" ht="31.5" x14ac:dyDescent="0.25">
      <c r="A6" s="312" t="s">
        <v>78</v>
      </c>
      <c r="B6" s="313">
        <v>34122</v>
      </c>
      <c r="C6" s="314">
        <v>17</v>
      </c>
      <c r="D6" s="315">
        <f t="shared" ref="D6:D13" si="11">C6*$D$3</f>
        <v>122905.40999999999</v>
      </c>
      <c r="E6" s="441">
        <v>412</v>
      </c>
      <c r="F6" s="442">
        <f t="shared" si="0"/>
        <v>583630.96</v>
      </c>
      <c r="G6" s="443"/>
      <c r="H6" s="443">
        <f>$H$2/Таблица28[[#Totals],[Колона5]]*Таблица28[[#This Row],[Колона5]]</f>
        <v>582463.69807999989</v>
      </c>
      <c r="I6" s="443">
        <f>Таблица28[[#This Row],[Колона7]]+Таблица28[[#This Row],[Колона8]]</f>
        <v>582463.69807999989</v>
      </c>
      <c r="J6" s="444">
        <v>3</v>
      </c>
      <c r="K6" s="445">
        <f t="shared" si="1"/>
        <v>1308</v>
      </c>
      <c r="L6" s="441"/>
      <c r="M6" s="445">
        <f t="shared" si="2"/>
        <v>0</v>
      </c>
      <c r="N6" s="318"/>
      <c r="O6" s="322">
        <f t="shared" si="3"/>
        <v>0</v>
      </c>
      <c r="P6" s="318">
        <v>329</v>
      </c>
      <c r="Q6" s="322">
        <f t="shared" si="4"/>
        <v>28623</v>
      </c>
      <c r="R6" s="318"/>
      <c r="S6" s="322">
        <f t="shared" si="5"/>
        <v>0</v>
      </c>
      <c r="T6" s="318">
        <v>412</v>
      </c>
      <c r="U6" s="322">
        <f t="shared" si="6"/>
        <v>10300</v>
      </c>
      <c r="V6" s="318"/>
      <c r="W6" s="321">
        <f t="shared" si="7"/>
        <v>0</v>
      </c>
      <c r="X6" s="319"/>
      <c r="Y6" s="321">
        <f t="shared" si="8"/>
        <v>0</v>
      </c>
      <c r="Z6" s="323">
        <f t="shared" ref="Z6:Z13" si="12">B6+D6+I6+K6+M6+O6+Q6+S6+U6+W6+Y6</f>
        <v>779722.10807999992</v>
      </c>
      <c r="AA6" s="384">
        <v>7103</v>
      </c>
      <c r="AB6" s="386">
        <f>Таблица28[[#This Row],[Колона26]]+Таблица28[[#This Row],[Колона27]]</f>
        <v>786825.10807999992</v>
      </c>
      <c r="AC6" s="318"/>
      <c r="AD6" s="321">
        <f t="shared" si="9"/>
        <v>0</v>
      </c>
      <c r="AE6" s="318"/>
      <c r="AF6" s="321">
        <f t="shared" si="10"/>
        <v>0</v>
      </c>
      <c r="AG6" s="391">
        <f>Таблица28[[#This Row],[Колона30]]+Таблица28[[#This Row],[Колона32]]</f>
        <v>0</v>
      </c>
      <c r="AH6" s="404"/>
      <c r="AI6" s="394"/>
      <c r="AJ6" s="405"/>
      <c r="AK6" s="398">
        <f t="shared" ref="AK6:AK13" si="13">AH6+AI6+AJ6</f>
        <v>0</v>
      </c>
      <c r="AL6" s="435">
        <f>Таблица28[[#This Row],[Колона28]]+Таблица28[[#This Row],[Колона33]]+AK6</f>
        <v>786825.10807999992</v>
      </c>
      <c r="AM6" s="437">
        <v>786825</v>
      </c>
    </row>
    <row r="7" spans="1:39" ht="15.75" x14ac:dyDescent="0.25">
      <c r="A7" s="312" t="s">
        <v>75</v>
      </c>
      <c r="B7" s="313">
        <v>34122</v>
      </c>
      <c r="C7" s="314">
        <v>26</v>
      </c>
      <c r="D7" s="315">
        <f t="shared" si="11"/>
        <v>187972.97999999998</v>
      </c>
      <c r="E7" s="441">
        <v>588</v>
      </c>
      <c r="F7" s="442">
        <f t="shared" si="0"/>
        <v>832949.03999999992</v>
      </c>
      <c r="G7" s="443"/>
      <c r="H7" s="443">
        <f>$H$2/Таблица28[[#Totals],[Колона5]]*Таблица28[[#This Row],[Колона5]]</f>
        <v>831283.14191999985</v>
      </c>
      <c r="I7" s="443">
        <f>Таблица28[[#This Row],[Колона7]]+Таблица28[[#This Row],[Колона8]]</f>
        <v>831283.14191999985</v>
      </c>
      <c r="J7" s="444">
        <v>7</v>
      </c>
      <c r="K7" s="445">
        <f t="shared" si="1"/>
        <v>3052</v>
      </c>
      <c r="L7" s="441"/>
      <c r="M7" s="445">
        <f t="shared" si="2"/>
        <v>0</v>
      </c>
      <c r="N7" s="318">
        <v>3</v>
      </c>
      <c r="O7" s="322">
        <f t="shared" si="3"/>
        <v>3027</v>
      </c>
      <c r="P7" s="318">
        <v>143</v>
      </c>
      <c r="Q7" s="322">
        <f t="shared" si="4"/>
        <v>12441</v>
      </c>
      <c r="R7" s="318">
        <v>294</v>
      </c>
      <c r="S7" s="322">
        <f t="shared" si="5"/>
        <v>21168</v>
      </c>
      <c r="T7" s="447">
        <v>588</v>
      </c>
      <c r="U7" s="322">
        <f t="shared" si="6"/>
        <v>14700</v>
      </c>
      <c r="V7" s="318">
        <v>15</v>
      </c>
      <c r="W7" s="321">
        <f>V7*$W$3</f>
        <v>23047.859999999997</v>
      </c>
      <c r="X7" s="319">
        <v>327</v>
      </c>
      <c r="Y7" s="321">
        <f t="shared" si="8"/>
        <v>196784.67600000001</v>
      </c>
      <c r="Z7" s="323">
        <f>B7+D7+I7+K7+M7+O7+Q7+S7+U7+W7+Y7</f>
        <v>1327598.6579199999</v>
      </c>
      <c r="AA7" s="385">
        <v>-866</v>
      </c>
      <c r="AB7" s="386">
        <f>Таблица28[[#This Row],[Колона26]]+Таблица28[[#This Row],[Колона27]]</f>
        <v>1326732.6579199999</v>
      </c>
      <c r="AC7" s="318">
        <v>33</v>
      </c>
      <c r="AD7" s="321">
        <f t="shared" si="9"/>
        <v>11847</v>
      </c>
      <c r="AE7" s="318">
        <v>33</v>
      </c>
      <c r="AF7" s="321">
        <f t="shared" si="10"/>
        <v>81708</v>
      </c>
      <c r="AG7" s="391">
        <f>Таблица28[[#This Row],[Колона30]]+Таблица28[[#This Row],[Колона32]]</f>
        <v>93555</v>
      </c>
      <c r="AH7" s="406"/>
      <c r="AI7" s="396">
        <v>5000</v>
      </c>
      <c r="AJ7" s="407"/>
      <c r="AK7" s="398">
        <f t="shared" si="13"/>
        <v>5000</v>
      </c>
      <c r="AL7" s="435">
        <f>Таблица28[[#This Row],[Колона28]]+Таблица28[[#This Row],[Колона33]]+AK7</f>
        <v>1425287.6579199999</v>
      </c>
      <c r="AM7" s="437">
        <v>1425287</v>
      </c>
    </row>
    <row r="8" spans="1:39" ht="32.25" customHeight="1" x14ac:dyDescent="0.25">
      <c r="A8" s="312" t="s">
        <v>76</v>
      </c>
      <c r="B8" s="313">
        <v>34122</v>
      </c>
      <c r="C8" s="314">
        <v>18</v>
      </c>
      <c r="D8" s="315">
        <f t="shared" si="11"/>
        <v>130135.13999999998</v>
      </c>
      <c r="E8" s="441">
        <v>414</v>
      </c>
      <c r="F8" s="442">
        <f t="shared" si="0"/>
        <v>586464.12</v>
      </c>
      <c r="G8" s="443"/>
      <c r="H8" s="443">
        <f>$H$2/Таблица28[[#Totals],[Колона5]]*Таблица28[[#This Row],[Колона5]]</f>
        <v>585291.19175999996</v>
      </c>
      <c r="I8" s="443">
        <f>Таблица28[[#This Row],[Колона7]]+Таблица28[[#This Row],[Колона8]]</f>
        <v>585291.19175999996</v>
      </c>
      <c r="J8" s="444"/>
      <c r="K8" s="445">
        <f t="shared" si="1"/>
        <v>0</v>
      </c>
      <c r="L8" s="441">
        <v>2</v>
      </c>
      <c r="M8" s="445">
        <f t="shared" si="2"/>
        <v>7184</v>
      </c>
      <c r="N8" s="318"/>
      <c r="O8" s="322">
        <f t="shared" si="3"/>
        <v>0</v>
      </c>
      <c r="P8" s="318"/>
      <c r="Q8" s="322">
        <f t="shared" si="4"/>
        <v>0</v>
      </c>
      <c r="R8" s="318">
        <v>229</v>
      </c>
      <c r="S8" s="322">
        <f t="shared" si="5"/>
        <v>16488</v>
      </c>
      <c r="T8" s="318">
        <v>414</v>
      </c>
      <c r="U8" s="322">
        <f t="shared" si="6"/>
        <v>10350</v>
      </c>
      <c r="V8" s="318">
        <v>10</v>
      </c>
      <c r="W8" s="321">
        <f t="shared" si="7"/>
        <v>15365.239999999998</v>
      </c>
      <c r="X8" s="319">
        <v>229</v>
      </c>
      <c r="Y8" s="321">
        <f t="shared" si="8"/>
        <v>137809.45199999999</v>
      </c>
      <c r="Z8" s="323">
        <f t="shared" si="12"/>
        <v>936745.02376000001</v>
      </c>
      <c r="AA8" s="384">
        <v>53</v>
      </c>
      <c r="AB8" s="386">
        <f>Таблица28[[#This Row],[Колона26]]+Таблица28[[#This Row],[Колона27]]</f>
        <v>936798.02376000001</v>
      </c>
      <c r="AC8" s="382">
        <v>15</v>
      </c>
      <c r="AD8" s="321">
        <f t="shared" si="9"/>
        <v>5385</v>
      </c>
      <c r="AE8" s="318">
        <v>15</v>
      </c>
      <c r="AF8" s="321">
        <f t="shared" si="10"/>
        <v>37140</v>
      </c>
      <c r="AG8" s="391">
        <f>Таблица28[[#This Row],[Колона30]]+Таблица28[[#This Row],[Колона32]]</f>
        <v>42525</v>
      </c>
      <c r="AH8" s="404">
        <v>3000</v>
      </c>
      <c r="AI8" s="394"/>
      <c r="AJ8" s="405"/>
      <c r="AK8" s="398">
        <f t="shared" si="13"/>
        <v>3000</v>
      </c>
      <c r="AL8" s="435">
        <f>Таблица28[[#This Row],[Колона28]]+Таблица28[[#This Row],[Колона33]]+AK8</f>
        <v>982323.02376000001</v>
      </c>
      <c r="AM8" s="437">
        <v>982323</v>
      </c>
    </row>
    <row r="9" spans="1:39" ht="31.5" x14ac:dyDescent="0.25">
      <c r="A9" s="312" t="s">
        <v>79</v>
      </c>
      <c r="B9" s="313">
        <v>34122</v>
      </c>
      <c r="C9" s="314">
        <v>18</v>
      </c>
      <c r="D9" s="315">
        <f t="shared" si="11"/>
        <v>130135.13999999998</v>
      </c>
      <c r="E9" s="441">
        <v>405</v>
      </c>
      <c r="F9" s="442">
        <f t="shared" si="0"/>
        <v>573714.9</v>
      </c>
      <c r="G9" s="446"/>
      <c r="H9" s="443">
        <f>$H$2/Таблица28[[#Totals],[Колона5]]*Таблица28[[#This Row],[Колона5]]</f>
        <v>572567.47019999987</v>
      </c>
      <c r="I9" s="443">
        <f>Таблица28[[#This Row],[Колона7]]+Таблица28[[#This Row],[Колона8]]</f>
        <v>572567.47019999987</v>
      </c>
      <c r="J9" s="444"/>
      <c r="K9" s="445">
        <f t="shared" si="1"/>
        <v>0</v>
      </c>
      <c r="L9" s="441">
        <v>4</v>
      </c>
      <c r="M9" s="445">
        <f t="shared" si="2"/>
        <v>14368</v>
      </c>
      <c r="N9" s="318"/>
      <c r="O9" s="322">
        <f t="shared" si="3"/>
        <v>0</v>
      </c>
      <c r="P9" s="318"/>
      <c r="Q9" s="322">
        <f t="shared" si="4"/>
        <v>0</v>
      </c>
      <c r="R9" s="318">
        <v>260</v>
      </c>
      <c r="S9" s="322">
        <f t="shared" si="5"/>
        <v>18720</v>
      </c>
      <c r="T9" s="318">
        <v>405</v>
      </c>
      <c r="U9" s="322">
        <f t="shared" si="6"/>
        <v>10125</v>
      </c>
      <c r="V9" s="318">
        <v>15</v>
      </c>
      <c r="W9" s="321">
        <f t="shared" si="7"/>
        <v>23047.859999999997</v>
      </c>
      <c r="X9" s="319">
        <v>337</v>
      </c>
      <c r="Y9" s="321">
        <f t="shared" si="8"/>
        <v>202802.55600000001</v>
      </c>
      <c r="Z9" s="323">
        <f>B9+D9+I9+K9+M9+O9+Q9+S9+U9+W9+Y9</f>
        <v>1005888.0261999998</v>
      </c>
      <c r="AA9" s="385">
        <v>-1416</v>
      </c>
      <c r="AB9" s="386">
        <f>Таблица28[[#This Row],[Колона26]]+Таблица28[[#This Row],[Колона27]]</f>
        <v>1004472.0261999998</v>
      </c>
      <c r="AC9" s="318">
        <v>25</v>
      </c>
      <c r="AD9" s="321">
        <f t="shared" si="9"/>
        <v>8975</v>
      </c>
      <c r="AE9" s="318">
        <v>25</v>
      </c>
      <c r="AF9" s="321">
        <f t="shared" si="10"/>
        <v>61900</v>
      </c>
      <c r="AG9" s="391">
        <f>Таблица28[[#This Row],[Колона30]]+Таблица28[[#This Row],[Колона32]]</f>
        <v>70875</v>
      </c>
      <c r="AH9" s="406"/>
      <c r="AI9" s="396"/>
      <c r="AJ9" s="407">
        <v>6000</v>
      </c>
      <c r="AK9" s="398">
        <f t="shared" si="13"/>
        <v>6000</v>
      </c>
      <c r="AL9" s="435">
        <f>Таблица28[[#This Row],[Колона28]]+Таблица28[[#This Row],[Колона33]]+AK9</f>
        <v>1081347.0261999997</v>
      </c>
      <c r="AM9" s="437">
        <v>1081347</v>
      </c>
    </row>
    <row r="10" spans="1:39" ht="15.75" x14ac:dyDescent="0.25">
      <c r="A10" s="312" t="s">
        <v>80</v>
      </c>
      <c r="B10" s="313">
        <v>34122</v>
      </c>
      <c r="C10" s="314">
        <v>27</v>
      </c>
      <c r="D10" s="315">
        <f t="shared" si="11"/>
        <v>195202.71</v>
      </c>
      <c r="E10" s="441">
        <v>648</v>
      </c>
      <c r="F10" s="442">
        <f t="shared" si="0"/>
        <v>917943.84</v>
      </c>
      <c r="G10" s="443"/>
      <c r="H10" s="443">
        <f>$H$2/Таблица28[[#Totals],[Колона5]]*Таблица28[[#This Row],[Колона5]]</f>
        <v>916107.95231999992</v>
      </c>
      <c r="I10" s="443">
        <f>Таблица28[[#This Row],[Колона7]]+Таблица28[[#This Row],[Колона8]]</f>
        <v>916107.95231999992</v>
      </c>
      <c r="J10" s="444"/>
      <c r="K10" s="445">
        <f t="shared" si="1"/>
        <v>0</v>
      </c>
      <c r="L10" s="441"/>
      <c r="M10" s="445">
        <f t="shared" si="2"/>
        <v>0</v>
      </c>
      <c r="N10" s="318"/>
      <c r="O10" s="322">
        <f t="shared" si="3"/>
        <v>0</v>
      </c>
      <c r="P10" s="318"/>
      <c r="Q10" s="322">
        <f t="shared" si="4"/>
        <v>0</v>
      </c>
      <c r="R10" s="318">
        <v>420</v>
      </c>
      <c r="S10" s="322">
        <f t="shared" si="5"/>
        <v>30240</v>
      </c>
      <c r="T10" s="318">
        <v>648</v>
      </c>
      <c r="U10" s="322">
        <f t="shared" si="6"/>
        <v>16200</v>
      </c>
      <c r="V10" s="318">
        <v>21</v>
      </c>
      <c r="W10" s="321">
        <f t="shared" si="7"/>
        <v>32267.003999999997</v>
      </c>
      <c r="X10" s="319">
        <v>504</v>
      </c>
      <c r="Y10" s="321">
        <f t="shared" si="8"/>
        <v>303301.152</v>
      </c>
      <c r="Z10" s="323">
        <f t="shared" si="12"/>
        <v>1527440.8183199998</v>
      </c>
      <c r="AA10" s="384">
        <v>11820</v>
      </c>
      <c r="AB10" s="386">
        <f>Таблица28[[#This Row],[Колона26]]+Таблица28[[#This Row],[Колона27]]</f>
        <v>1539260.8183199998</v>
      </c>
      <c r="AC10" s="318">
        <v>15</v>
      </c>
      <c r="AD10" s="321">
        <f t="shared" si="9"/>
        <v>5385</v>
      </c>
      <c r="AE10" s="318">
        <v>15</v>
      </c>
      <c r="AF10" s="321">
        <f t="shared" si="10"/>
        <v>37140</v>
      </c>
      <c r="AG10" s="391">
        <f>Таблица28[[#This Row],[Колона30]]+Таблица28[[#This Row],[Колона32]]</f>
        <v>42525</v>
      </c>
      <c r="AH10" s="404"/>
      <c r="AI10" s="394"/>
      <c r="AJ10" s="405">
        <v>6000</v>
      </c>
      <c r="AK10" s="398">
        <f t="shared" si="13"/>
        <v>6000</v>
      </c>
      <c r="AL10" s="435">
        <f>Таблица28[[#This Row],[Колона28]]+Таблица28[[#This Row],[Колона33]]+AK10</f>
        <v>1587785.8183199998</v>
      </c>
      <c r="AM10" s="437">
        <v>1587786</v>
      </c>
    </row>
    <row r="11" spans="1:39" ht="31.5" x14ac:dyDescent="0.25">
      <c r="A11" s="312" t="s">
        <v>81</v>
      </c>
      <c r="B11" s="313">
        <v>34122</v>
      </c>
      <c r="C11" s="314">
        <v>7</v>
      </c>
      <c r="D11" s="315">
        <f t="shared" si="11"/>
        <v>50608.11</v>
      </c>
      <c r="E11" s="316">
        <v>66</v>
      </c>
      <c r="F11" s="376">
        <f>E11*$F$3</f>
        <v>93494.28</v>
      </c>
      <c r="G11" s="363">
        <f>G3/(Таблица28[[#This Row],[Колона5]]+E12+E13)*Таблица28[[#This Row],[Колона5]]</f>
        <v>2351.8310098744769</v>
      </c>
      <c r="H11" s="363">
        <f>$H$2/Таблица28[[#Totals],[Колона5]]*Таблица28[[#This Row],[Колона5]]</f>
        <v>93307.291439999986</v>
      </c>
      <c r="I11" s="363">
        <f>Таблица28[[#This Row],[Колона7]]+Таблица28[[#This Row],[Колона8]]</f>
        <v>95659.12244987447</v>
      </c>
      <c r="J11" s="314">
        <v>21</v>
      </c>
      <c r="K11" s="317">
        <f t="shared" si="1"/>
        <v>9156</v>
      </c>
      <c r="L11" s="316"/>
      <c r="M11" s="317">
        <f t="shared" si="2"/>
        <v>0</v>
      </c>
      <c r="N11" s="318"/>
      <c r="O11" s="322">
        <f t="shared" si="3"/>
        <v>0</v>
      </c>
      <c r="P11" s="318"/>
      <c r="Q11" s="322">
        <f t="shared" si="4"/>
        <v>0</v>
      </c>
      <c r="R11" s="318">
        <v>34</v>
      </c>
      <c r="S11" s="322">
        <f t="shared" si="5"/>
        <v>2448</v>
      </c>
      <c r="T11" s="318">
        <v>66</v>
      </c>
      <c r="U11" s="322">
        <f t="shared" si="6"/>
        <v>1650</v>
      </c>
      <c r="V11" s="318">
        <v>2</v>
      </c>
      <c r="W11" s="321">
        <f t="shared" si="7"/>
        <v>3073.0479999999998</v>
      </c>
      <c r="X11" s="319">
        <v>50</v>
      </c>
      <c r="Y11" s="321">
        <f t="shared" si="8"/>
        <v>30089.4</v>
      </c>
      <c r="Z11" s="323">
        <f t="shared" si="12"/>
        <v>226805.68044987446</v>
      </c>
      <c r="AA11" s="385">
        <v>-11695</v>
      </c>
      <c r="AB11" s="386">
        <f>Таблица28[[#This Row],[Колона26]]+Таблица28[[#This Row],[Колона27]]</f>
        <v>215110.68044987446</v>
      </c>
      <c r="AC11" s="318">
        <v>5</v>
      </c>
      <c r="AD11" s="321">
        <f t="shared" si="9"/>
        <v>1795</v>
      </c>
      <c r="AE11" s="318">
        <v>5</v>
      </c>
      <c r="AF11" s="321">
        <f t="shared" si="10"/>
        <v>12380</v>
      </c>
      <c r="AG11" s="391">
        <f>Таблица28[[#This Row],[Колона30]]+Таблица28[[#This Row],[Колона32]]</f>
        <v>14175</v>
      </c>
      <c r="AH11" s="406"/>
      <c r="AI11" s="396">
        <v>5000</v>
      </c>
      <c r="AJ11" s="407"/>
      <c r="AK11" s="398">
        <f t="shared" si="13"/>
        <v>5000</v>
      </c>
      <c r="AL11" s="435">
        <f>Таблица28[[#This Row],[Колона28]]+Таблица28[[#This Row],[Колона33]]+AK11</f>
        <v>234285.68044987446</v>
      </c>
      <c r="AM11" s="437">
        <v>234286</v>
      </c>
    </row>
    <row r="12" spans="1:39" ht="31.5" x14ac:dyDescent="0.25">
      <c r="A12" s="312" t="s">
        <v>82</v>
      </c>
      <c r="B12" s="313">
        <v>34122</v>
      </c>
      <c r="C12" s="314">
        <v>7</v>
      </c>
      <c r="D12" s="315">
        <f t="shared" si="11"/>
        <v>50608.11</v>
      </c>
      <c r="E12" s="316">
        <v>133</v>
      </c>
      <c r="F12" s="376">
        <f t="shared" si="0"/>
        <v>188405.13999999998</v>
      </c>
      <c r="G12" s="363">
        <f>G3/(E11+Таблица28[[#This Row],[Колона5]]+E13)*Таблица28[[#This Row],[Колона5]]</f>
        <v>4739.2958229288697</v>
      </c>
      <c r="H12" s="363">
        <f>$H$2/Таблица28[[#Totals],[Колона5]]*Таблица28[[#This Row],[Колона5]]</f>
        <v>188028.32971999998</v>
      </c>
      <c r="I12" s="363">
        <f>Таблица28[[#This Row],[Колона7]]+Таблица28[[#This Row],[Колона8]]</f>
        <v>192767.62554292884</v>
      </c>
      <c r="J12" s="314">
        <v>13</v>
      </c>
      <c r="K12" s="317">
        <f t="shared" si="1"/>
        <v>5668</v>
      </c>
      <c r="L12" s="316"/>
      <c r="M12" s="317">
        <f t="shared" si="2"/>
        <v>0</v>
      </c>
      <c r="N12" s="318"/>
      <c r="O12" s="322">
        <f t="shared" si="3"/>
        <v>0</v>
      </c>
      <c r="P12" s="318"/>
      <c r="Q12" s="322">
        <f t="shared" si="4"/>
        <v>0</v>
      </c>
      <c r="R12" s="318">
        <v>71</v>
      </c>
      <c r="S12" s="322">
        <f t="shared" si="5"/>
        <v>5112</v>
      </c>
      <c r="T12" s="318">
        <v>133</v>
      </c>
      <c r="U12" s="322">
        <f t="shared" si="6"/>
        <v>3325</v>
      </c>
      <c r="V12" s="318">
        <v>6</v>
      </c>
      <c r="W12" s="321">
        <f t="shared" si="7"/>
        <v>9219.1440000000002</v>
      </c>
      <c r="X12" s="319">
        <v>133</v>
      </c>
      <c r="Y12" s="321">
        <f t="shared" si="8"/>
        <v>80037.804000000004</v>
      </c>
      <c r="Z12" s="323">
        <f t="shared" si="12"/>
        <v>380859.68354292889</v>
      </c>
      <c r="AA12" s="385">
        <v>-4447</v>
      </c>
      <c r="AB12" s="386">
        <f>Таблица28[[#This Row],[Колона26]]+Таблица28[[#This Row],[Колона27]]</f>
        <v>376412.68354292889</v>
      </c>
      <c r="AC12" s="318">
        <v>1</v>
      </c>
      <c r="AD12" s="321">
        <f t="shared" si="9"/>
        <v>359</v>
      </c>
      <c r="AE12" s="318"/>
      <c r="AF12" s="321">
        <f t="shared" si="10"/>
        <v>0</v>
      </c>
      <c r="AG12" s="391">
        <f>Таблица28[[#This Row],[Колона30]]+Таблица28[[#This Row],[Колона32]]</f>
        <v>359</v>
      </c>
      <c r="AH12" s="404"/>
      <c r="AI12" s="439"/>
      <c r="AJ12" s="405">
        <v>12000</v>
      </c>
      <c r="AK12" s="398">
        <f t="shared" si="13"/>
        <v>12000</v>
      </c>
      <c r="AL12" s="435">
        <f>Таблица28[[#This Row],[Колона28]]+Таблица28[[#This Row],[Колона33]]+AK12</f>
        <v>388771.68354292889</v>
      </c>
      <c r="AM12" s="437">
        <v>388772</v>
      </c>
    </row>
    <row r="13" spans="1:39" ht="32.25" thickBot="1" x14ac:dyDescent="0.3">
      <c r="A13" s="324" t="s">
        <v>83</v>
      </c>
      <c r="B13" s="313">
        <v>34122</v>
      </c>
      <c r="C13" s="325">
        <v>4</v>
      </c>
      <c r="D13" s="315">
        <f t="shared" si="11"/>
        <v>28918.92</v>
      </c>
      <c r="E13" s="326">
        <v>40</v>
      </c>
      <c r="F13" s="377">
        <f t="shared" si="0"/>
        <v>56663.199999999997</v>
      </c>
      <c r="G13" s="364">
        <f>G3/(E11+E12++Таблица28[[#This Row],[Колона5]])*Таблица28[[#This Row],[Колона5]]</f>
        <v>1425.3521271966524</v>
      </c>
      <c r="H13" s="364">
        <f>$H$2/Таблица28[[#Totals],[Колона5]]*Таблица28[[#This Row],[Колона5]]</f>
        <v>56549.873599999992</v>
      </c>
      <c r="I13" s="364">
        <f>Таблица28[[#This Row],[Колона7]]+Таблица28[[#This Row],[Колона8]]</f>
        <v>57975.225727196645</v>
      </c>
      <c r="J13" s="325">
        <v>26</v>
      </c>
      <c r="K13" s="327">
        <f t="shared" si="1"/>
        <v>11336</v>
      </c>
      <c r="L13" s="326"/>
      <c r="M13" s="327">
        <f t="shared" si="2"/>
        <v>0</v>
      </c>
      <c r="N13" s="326"/>
      <c r="O13" s="328">
        <f t="shared" si="3"/>
        <v>0</v>
      </c>
      <c r="P13" s="318"/>
      <c r="Q13" s="322">
        <f t="shared" si="4"/>
        <v>0</v>
      </c>
      <c r="R13" s="318">
        <v>26</v>
      </c>
      <c r="S13" s="322">
        <f t="shared" si="5"/>
        <v>1872</v>
      </c>
      <c r="T13" s="318">
        <v>40</v>
      </c>
      <c r="U13" s="322">
        <f t="shared" si="6"/>
        <v>1000</v>
      </c>
      <c r="V13" s="318">
        <v>2</v>
      </c>
      <c r="W13" s="321">
        <f t="shared" si="7"/>
        <v>3073.0479999999998</v>
      </c>
      <c r="X13" s="319">
        <v>40</v>
      </c>
      <c r="Y13" s="321">
        <f t="shared" si="8"/>
        <v>24071.52</v>
      </c>
      <c r="Z13" s="330">
        <f t="shared" si="12"/>
        <v>162368.71372719665</v>
      </c>
      <c r="AA13" s="385">
        <v>-7393</v>
      </c>
      <c r="AB13" s="387">
        <f>Таблица28[[#This Row],[Колона26]]+Таблица28[[#This Row],[Колона27]]</f>
        <v>154975.71372719665</v>
      </c>
      <c r="AC13" s="326">
        <v>9</v>
      </c>
      <c r="AD13" s="327">
        <f t="shared" si="9"/>
        <v>3231</v>
      </c>
      <c r="AE13" s="326"/>
      <c r="AF13" s="327">
        <f t="shared" si="10"/>
        <v>0</v>
      </c>
      <c r="AG13" s="392">
        <f>Таблица28[[#This Row],[Колона30]]+Таблица28[[#This Row],[Колона32]]</f>
        <v>3231</v>
      </c>
      <c r="AH13" s="408"/>
      <c r="AI13" s="397"/>
      <c r="AJ13" s="409"/>
      <c r="AK13" s="398">
        <f t="shared" si="13"/>
        <v>0</v>
      </c>
      <c r="AL13" s="435">
        <f>Таблица28[[#This Row],[Колона28]]+Таблица28[[#This Row],[Колона33]]+AK13</f>
        <v>158206.71372719665</v>
      </c>
      <c r="AM13" s="437">
        <v>158207</v>
      </c>
    </row>
    <row r="14" spans="1:39" ht="16.5" thickBot="1" x14ac:dyDescent="0.3">
      <c r="A14" s="413" t="s">
        <v>115</v>
      </c>
      <c r="B14" s="419">
        <f>SUBTOTAL(109,Таблица28[Колона2])</f>
        <v>307098</v>
      </c>
      <c r="C14" s="414">
        <f>SUBTOTAL(109,Таблица28[Колона3])</f>
        <v>136</v>
      </c>
      <c r="D14" s="415">
        <f>SUBTOTAL(109,Таблица28[Колона4])</f>
        <v>983243.27999999991</v>
      </c>
      <c r="E14" s="424">
        <f>SUBTOTAL(109,Таблица28[Колона5])</f>
        <v>3006</v>
      </c>
      <c r="F14" s="420">
        <f>SUBTOTAL(109,Таблица28[Колона6])</f>
        <v>4258239.4799999995</v>
      </c>
      <c r="G14" s="421">
        <f>SUBTOTAL(109,Таблица28[Колона7])</f>
        <v>8516.4789599999986</v>
      </c>
      <c r="H14" s="421">
        <f>SUBTOTAL(109,Таблица28[Колона8])</f>
        <v>4249723.0010399986</v>
      </c>
      <c r="I14" s="422">
        <f>SUBTOTAL(109,Таблица28[Колона9])</f>
        <v>4258239.4799999995</v>
      </c>
      <c r="J14" s="414">
        <f>SUBTOTAL(109,Таблица28[Колона10])</f>
        <v>73</v>
      </c>
      <c r="K14" s="423">
        <f>SUBTOTAL(109,Таблица28[Колона11])</f>
        <v>31828</v>
      </c>
      <c r="L14" s="424">
        <f>SUBTOTAL(109,Таблица28[Колона12])</f>
        <v>7</v>
      </c>
      <c r="M14" s="423">
        <f>SUBTOTAL(109,Таблица28[Колона13])</f>
        <v>25144</v>
      </c>
      <c r="N14" s="424">
        <f>SUBTOTAL(109,Таблица28[Колона14])</f>
        <v>3</v>
      </c>
      <c r="O14" s="415">
        <f>SUBTOTAL(109,Таблица28[Колона15])</f>
        <v>3027</v>
      </c>
      <c r="P14" s="424">
        <f>SUBTOTAL(109,Таблица28[Колона16])</f>
        <v>773</v>
      </c>
      <c r="Q14" s="415">
        <f>SUBTOTAL(109,Таблица28[Колона17])</f>
        <v>67251</v>
      </c>
      <c r="R14" s="424">
        <f>SUBTOTAL(109,Таблица28[Колона18])</f>
        <v>1334</v>
      </c>
      <c r="S14" s="415">
        <f>SUBTOTAL(109,Таблица28[Колона19])</f>
        <v>96048</v>
      </c>
      <c r="T14" s="424">
        <f>SUBTOTAL(109,Таблица28[Колона20])</f>
        <v>3006</v>
      </c>
      <c r="U14" s="415">
        <f>SUBTOTAL(109,Таблица28[Колона21])</f>
        <v>75150</v>
      </c>
      <c r="V14" s="424">
        <f>SUBTOTAL(109,Таблица28[Колона22])</f>
        <v>71</v>
      </c>
      <c r="W14" s="423">
        <f>SUBTOTAL(109,Таблица28[Колона23])</f>
        <v>109093.20399999998</v>
      </c>
      <c r="X14" s="414">
        <f>SUBTOTAL(109,Таблица28[Колона24])</f>
        <v>1620</v>
      </c>
      <c r="Y14" s="423">
        <f>SUBTOTAL(109,Таблица28[Колона25])</f>
        <v>974896.56</v>
      </c>
      <c r="Z14" s="419">
        <f>SUBTOTAL(109,Таблица28[Колона26])</f>
        <v>6931018.5239999993</v>
      </c>
      <c r="AA14" s="425">
        <f>SUBTOTAL(109,Таблица28[Колона27])</f>
        <v>0</v>
      </c>
      <c r="AB14" s="426">
        <f>SUBTOTAL(109,Таблица28[Колона28])</f>
        <v>6931018.5239999993</v>
      </c>
      <c r="AC14" s="424">
        <f>SUBTOTAL(109,Таблица28[Колона29])</f>
        <v>104</v>
      </c>
      <c r="AD14" s="423">
        <f>SUBTOTAL(109,Таблица28[Колона30])</f>
        <v>37336</v>
      </c>
      <c r="AE14" s="424">
        <f>SUBTOTAL(109,Таблица28[Колона31])</f>
        <v>93</v>
      </c>
      <c r="AF14" s="423">
        <f>SUBTOTAL(109,Таблица28[Колона32])</f>
        <v>230268</v>
      </c>
      <c r="AG14" s="427">
        <f>SUBTOTAL(109,Таблица28[Колона33])</f>
        <v>267604</v>
      </c>
      <c r="AH14" s="428">
        <f>SUM(AH5:AH13)</f>
        <v>3000</v>
      </c>
      <c r="AI14" s="429">
        <f>SUM(AI5:AI13)</f>
        <v>10000</v>
      </c>
      <c r="AJ14" s="430">
        <f>SUM(AJ5:AJ13)</f>
        <v>24000</v>
      </c>
      <c r="AK14" s="431">
        <f>AH14+AI14+AJ14</f>
        <v>37000</v>
      </c>
      <c r="AL14" s="436">
        <f>SUM(AL5:AL13)</f>
        <v>7235622.5239999993</v>
      </c>
      <c r="AM14" s="438">
        <f>SUM(AM5:AM13)</f>
        <v>7235623</v>
      </c>
    </row>
    <row r="15" spans="1:39" ht="17.25" customHeight="1" x14ac:dyDescent="0.25">
      <c r="A15" s="432"/>
      <c r="B15" s="432"/>
      <c r="C15" s="432"/>
      <c r="D15" s="432"/>
      <c r="E15" s="432">
        <f>E16-Таблица28[[#Totals],[Колона5]]</f>
        <v>20</v>
      </c>
      <c r="F15" s="432">
        <f>F16-Таблица28[[#Totals],[Колона6]]</f>
        <v>28331.600000000559</v>
      </c>
      <c r="G15" s="432"/>
      <c r="H15" s="432"/>
      <c r="I15" s="432"/>
      <c r="J15" s="432">
        <v>0</v>
      </c>
      <c r="K15" s="432">
        <v>0</v>
      </c>
      <c r="L15" s="432">
        <f>L16-Таблица28[[#Totals],[Колона12]]</f>
        <v>-6</v>
      </c>
      <c r="M15" s="432">
        <f>M16-Таблица28[[#Totals],[Колона13]]</f>
        <v>-21552</v>
      </c>
      <c r="N15" s="432">
        <f>N16-Таблица28[[#Totals],[Колона14]]</f>
        <v>-2</v>
      </c>
      <c r="O15" s="432">
        <f>O16-Таблица28[[#Totals],[Колона15]]</f>
        <v>-2018</v>
      </c>
      <c r="P15" s="432">
        <f>P16-Таблица28[[#Totals],[Колона16]]</f>
        <v>57</v>
      </c>
      <c r="Q15" s="432">
        <f>Q16-Таблица28[[#Totals],[Колона17]]</f>
        <v>4959</v>
      </c>
      <c r="R15" s="432">
        <f>R16-Таблица28[[#Totals],[Колона18]]</f>
        <v>10</v>
      </c>
      <c r="S15" s="432">
        <f>S16-Таблица28[[#Totals],[Колона19]]</f>
        <v>720</v>
      </c>
      <c r="T15" s="432">
        <f>T16-Таблица28[[#Totals],[Колона20]]</f>
        <v>20</v>
      </c>
      <c r="U15" s="432">
        <f>U16-Таблица28[[#Totals],[Колона21]]</f>
        <v>500</v>
      </c>
      <c r="V15" s="432">
        <v>0</v>
      </c>
      <c r="W15" s="432">
        <v>0</v>
      </c>
      <c r="X15" s="432">
        <f>X16-Таблица28[[#Totals],[Колона24]]</f>
        <v>11</v>
      </c>
      <c r="Y15" s="432">
        <f>Y16-Таблица28[[#Totals],[Колона25]]</f>
        <v>6619.6679999999469</v>
      </c>
      <c r="Z15" s="440">
        <f>Z16-Таблица28[[#Totals],[Колона26]]</f>
        <v>17559.784000000916</v>
      </c>
      <c r="AA15" s="432"/>
      <c r="AB15" s="432"/>
      <c r="AC15" s="432">
        <f>AC16-Таблица28[[#Totals],[Колона29]]</f>
        <v>21</v>
      </c>
      <c r="AD15" s="432">
        <f>AD16-Таблица28[[#Totals],[Колона30]]</f>
        <v>7539</v>
      </c>
      <c r="AE15" s="432">
        <f>AE16-Таблица28[[#Totals],[Колона31]]</f>
        <v>-31</v>
      </c>
      <c r="AF15" s="432">
        <f>AF16-Таблица28[[#Totals],[Колона32]]</f>
        <v>-76756</v>
      </c>
      <c r="AG15" s="432">
        <f>AG16-Таблица28[[#Totals],[Колона33]]</f>
        <v>-69217</v>
      </c>
      <c r="AH15" s="432">
        <v>0</v>
      </c>
      <c r="AI15" s="24">
        <v>5000</v>
      </c>
      <c r="AJ15" s="432">
        <v>0</v>
      </c>
      <c r="AK15" s="432">
        <v>5000</v>
      </c>
      <c r="AM15" s="448">
        <f>Z15+AG15+AK15</f>
        <v>-46657.215999999084</v>
      </c>
    </row>
    <row r="16" spans="1:39" ht="18" customHeight="1" x14ac:dyDescent="0.2">
      <c r="A16" s="432"/>
      <c r="B16" s="432">
        <v>307098</v>
      </c>
      <c r="C16" s="432"/>
      <c r="D16" s="432">
        <v>983243</v>
      </c>
      <c r="E16" s="432">
        <v>3026</v>
      </c>
      <c r="F16" s="432">
        <f>E16*F3</f>
        <v>4286571.08</v>
      </c>
      <c r="G16" s="432"/>
      <c r="H16" s="432"/>
      <c r="I16" s="432"/>
      <c r="J16" s="432">
        <v>73</v>
      </c>
      <c r="K16" s="432">
        <v>31828</v>
      </c>
      <c r="L16" s="432">
        <v>1</v>
      </c>
      <c r="M16" s="432">
        <f>L16*M3</f>
        <v>3592</v>
      </c>
      <c r="N16" s="432">
        <v>1</v>
      </c>
      <c r="O16" s="432">
        <f>N16*O3</f>
        <v>1009</v>
      </c>
      <c r="P16" s="432">
        <v>830</v>
      </c>
      <c r="Q16" s="432">
        <f>P16*Q3</f>
        <v>72210</v>
      </c>
      <c r="R16" s="432">
        <v>1344</v>
      </c>
      <c r="S16" s="432">
        <f>R16*S3</f>
        <v>96768</v>
      </c>
      <c r="T16" s="432">
        <v>3026</v>
      </c>
      <c r="U16" s="432">
        <f>T16*U3</f>
        <v>75650</v>
      </c>
      <c r="V16" s="432">
        <v>71</v>
      </c>
      <c r="W16" s="432">
        <v>109093</v>
      </c>
      <c r="X16" s="432">
        <v>1631</v>
      </c>
      <c r="Y16" s="432">
        <f>X16*Y3</f>
        <v>981516.228</v>
      </c>
      <c r="Z16" s="433">
        <f>B16+D16+F16+K16+M16+O16+Q16+S16+U16+W16+Y16</f>
        <v>6948578.3080000002</v>
      </c>
      <c r="AA16" s="432"/>
      <c r="AB16" s="432"/>
      <c r="AC16" s="432">
        <v>125</v>
      </c>
      <c r="AD16" s="432">
        <f>AC16*AD3</f>
        <v>44875</v>
      </c>
      <c r="AE16" s="432">
        <v>62</v>
      </c>
      <c r="AF16" s="432">
        <f>AE16*AF3</f>
        <v>153512</v>
      </c>
      <c r="AG16" s="432">
        <f>AD16+AF16</f>
        <v>198387</v>
      </c>
      <c r="AH16" s="432">
        <v>3000</v>
      </c>
      <c r="AI16" s="432">
        <v>15000</v>
      </c>
      <c r="AJ16" s="432">
        <v>24000</v>
      </c>
      <c r="AK16" s="432">
        <v>42000</v>
      </c>
      <c r="AM16" s="364">
        <f>Z16+AG16+AK16</f>
        <v>7188965.3080000002</v>
      </c>
    </row>
    <row r="17" spans="2:39" ht="18.75" customHeight="1" x14ac:dyDescent="0.2">
      <c r="AH17" s="417"/>
      <c r="AI17" s="418"/>
      <c r="AJ17" s="417"/>
      <c r="AK17" s="417"/>
      <c r="AL17" s="434"/>
      <c r="AM17" s="417"/>
    </row>
    <row r="18" spans="2:39" x14ac:dyDescent="0.2">
      <c r="B18" s="577" t="s">
        <v>158</v>
      </c>
      <c r="C18" s="577"/>
      <c r="D18" s="577"/>
      <c r="E18" s="577"/>
      <c r="AH18" s="417"/>
      <c r="AI18" s="417"/>
      <c r="AJ18" s="417"/>
      <c r="AK18" s="417"/>
      <c r="AL18" s="417"/>
      <c r="AM18" s="417"/>
    </row>
    <row r="19" spans="2:39" x14ac:dyDescent="0.2">
      <c r="AG19" s="334"/>
    </row>
    <row r="20" spans="2:39" x14ac:dyDescent="0.2">
      <c r="AH20" s="449"/>
    </row>
  </sheetData>
  <mergeCells count="20">
    <mergeCell ref="A2:A3"/>
    <mergeCell ref="B2:B3"/>
    <mergeCell ref="C2:D2"/>
    <mergeCell ref="E2:F2"/>
    <mergeCell ref="J2:K2"/>
    <mergeCell ref="B18:E18"/>
    <mergeCell ref="AM2:AM4"/>
    <mergeCell ref="AL2:AL4"/>
    <mergeCell ref="AE2:AF2"/>
    <mergeCell ref="V2:Y2"/>
    <mergeCell ref="AC2:AD2"/>
    <mergeCell ref="L2:M2"/>
    <mergeCell ref="AK1:AK4"/>
    <mergeCell ref="AH2:AJ2"/>
    <mergeCell ref="AH3:AJ3"/>
    <mergeCell ref="E1:F1"/>
    <mergeCell ref="N2:O2"/>
    <mergeCell ref="P2:Q2"/>
    <mergeCell ref="R2:S2"/>
    <mergeCell ref="T2:U2"/>
  </mergeCells>
  <conditionalFormatting sqref="H2">
    <cfRule type="duplicateValues" dxfId="71" priority="5"/>
  </conditionalFormatting>
  <conditionalFormatting sqref="G11">
    <cfRule type="duplicateValues" dxfId="70" priority="2"/>
  </conditionalFormatting>
  <conditionalFormatting sqref="G12">
    <cfRule type="duplicateValues" dxfId="69" priority="1"/>
  </conditionalFormatting>
  <pageMargins left="0.31496062992125984" right="0.11811023622047245" top="0.74803149606299213" bottom="0.74803149606299213" header="0.31496062992125984" footer="0.31496062992125984"/>
  <pageSetup paperSize="9" scale="80" orientation="landscape" r:id="rId1"/>
  <ignoredErrors>
    <ignoredError sqref="AH4" twoDigitTextYear="1"/>
  </ignoredError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7</vt:i4>
      </vt:variant>
    </vt:vector>
  </HeadingPairs>
  <TitlesOfParts>
    <vt:vector size="7" baseType="lpstr">
      <vt:lpstr>2017</vt:lpstr>
      <vt:lpstr>Sheet2</vt:lpstr>
      <vt:lpstr>гориво_бр. деца</vt:lpstr>
      <vt:lpstr>бр. деца</vt:lpstr>
      <vt:lpstr>малко нас. място</vt:lpstr>
      <vt:lpstr>2018</vt:lpstr>
      <vt:lpstr>Приложение 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Windows User</cp:lastModifiedBy>
  <cp:lastPrinted>2018-03-08T08:08:13Z</cp:lastPrinted>
  <dcterms:created xsi:type="dcterms:W3CDTF">1996-10-14T23:33:28Z</dcterms:created>
  <dcterms:modified xsi:type="dcterms:W3CDTF">2018-03-08T09:49:26Z</dcterms:modified>
</cp:coreProperties>
</file>