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840" windowWidth="11355" windowHeight="8445" firstSheet="2" activeTab="2"/>
  </bookViews>
  <sheets>
    <sheet name="2017" sheetId="1" state="hidden" r:id="rId1"/>
    <sheet name="2018" sheetId="2" state="hidden" r:id="rId2"/>
    <sheet name="Приложение 2" sheetId="3" r:id="rId3"/>
  </sheets>
  <calcPr calcId="144525"/>
</workbook>
</file>

<file path=xl/calcChain.xml><?xml version="1.0" encoding="utf-8"?>
<calcChain xmlns="http://schemas.openxmlformats.org/spreadsheetml/2006/main">
  <c r="AB15" i="3" l="1"/>
  <c r="AB16" i="3"/>
  <c r="AA15" i="3"/>
  <c r="AA16" i="3"/>
  <c r="Z15" i="3"/>
  <c r="Z16" i="3"/>
  <c r="Y15" i="3"/>
  <c r="X15" i="3"/>
  <c r="X16" i="3"/>
  <c r="W15" i="3"/>
  <c r="V15" i="3"/>
  <c r="V16" i="3"/>
  <c r="U15" i="3"/>
  <c r="U16" i="3"/>
  <c r="T15" i="3"/>
  <c r="M15" i="3"/>
  <c r="M16" i="3"/>
  <c r="L15" i="3"/>
  <c r="H15" i="3"/>
  <c r="H16" i="3"/>
  <c r="G15" i="3"/>
  <c r="F15" i="3"/>
  <c r="F16" i="3"/>
  <c r="E15" i="3"/>
  <c r="AB5" i="3" l="1"/>
  <c r="AB6" i="3"/>
  <c r="AB7" i="3"/>
  <c r="AB8" i="3"/>
  <c r="AB9" i="3"/>
  <c r="AB10" i="3"/>
  <c r="AB11" i="3"/>
  <c r="AB12" i="3"/>
  <c r="AB13" i="3"/>
  <c r="V14" i="3"/>
  <c r="V5" i="3"/>
  <c r="V6" i="3"/>
  <c r="V7" i="3"/>
  <c r="V8" i="3"/>
  <c r="V9" i="3"/>
  <c r="V10" i="3"/>
  <c r="V11" i="3"/>
  <c r="V12" i="3"/>
  <c r="V13" i="3"/>
  <c r="Q5" i="3"/>
  <c r="U14" i="3"/>
  <c r="T14" i="3"/>
  <c r="R14" i="3"/>
  <c r="AE5" i="3" l="1"/>
  <c r="AD6" i="3"/>
  <c r="AD7" i="3"/>
  <c r="AE7" i="3" s="1"/>
  <c r="AD8" i="3"/>
  <c r="AE8" i="3" s="1"/>
  <c r="AD9" i="3"/>
  <c r="AE9" i="3" s="1"/>
  <c r="AD10" i="3"/>
  <c r="AE10" i="3" s="1"/>
  <c r="AD11" i="3"/>
  <c r="AE11" i="3" s="1"/>
  <c r="AD12" i="3"/>
  <c r="AE12" i="3" s="1"/>
  <c r="AD13" i="3"/>
  <c r="AE13" i="3" s="1"/>
  <c r="AC14" i="3"/>
  <c r="B14" i="3"/>
  <c r="Y14" i="3"/>
  <c r="W14" i="3"/>
  <c r="L14" i="3"/>
  <c r="G14" i="3"/>
  <c r="E14" i="3"/>
  <c r="C14" i="3"/>
  <c r="Z13" i="3"/>
  <c r="X13" i="3"/>
  <c r="U13" i="3"/>
  <c r="M13" i="3"/>
  <c r="H13" i="3"/>
  <c r="F13" i="3"/>
  <c r="D13" i="3"/>
  <c r="Z12" i="3"/>
  <c r="X12" i="3"/>
  <c r="U12" i="3"/>
  <c r="M12" i="3"/>
  <c r="H12" i="3"/>
  <c r="F12" i="3"/>
  <c r="D12" i="3"/>
  <c r="Z11" i="3"/>
  <c r="X11" i="3"/>
  <c r="AA11" i="3" s="1"/>
  <c r="U11" i="3"/>
  <c r="M11" i="3"/>
  <c r="H11" i="3"/>
  <c r="F11" i="3"/>
  <c r="D11" i="3"/>
  <c r="Z10" i="3"/>
  <c r="X10" i="3"/>
  <c r="U10" i="3"/>
  <c r="M10" i="3"/>
  <c r="H10" i="3"/>
  <c r="F10" i="3"/>
  <c r="D10" i="3"/>
  <c r="Z9" i="3"/>
  <c r="X9" i="3"/>
  <c r="U9" i="3"/>
  <c r="M9" i="3"/>
  <c r="H9" i="3"/>
  <c r="F9" i="3"/>
  <c r="D9" i="3"/>
  <c r="Z8" i="3"/>
  <c r="X8" i="3"/>
  <c r="U8" i="3"/>
  <c r="M8" i="3"/>
  <c r="H8" i="3"/>
  <c r="F8" i="3"/>
  <c r="D8" i="3"/>
  <c r="Z7" i="3"/>
  <c r="X7" i="3"/>
  <c r="AA7" i="3" s="1"/>
  <c r="U7" i="3"/>
  <c r="M7" i="3"/>
  <c r="H7" i="3"/>
  <c r="F7" i="3"/>
  <c r="D7" i="3"/>
  <c r="Z6" i="3"/>
  <c r="X6" i="3"/>
  <c r="U6" i="3"/>
  <c r="M6" i="3"/>
  <c r="H6" i="3"/>
  <c r="F6" i="3"/>
  <c r="D6" i="3"/>
  <c r="Z5" i="3"/>
  <c r="X5" i="3"/>
  <c r="U5" i="3"/>
  <c r="M5" i="3"/>
  <c r="H5" i="3"/>
  <c r="F5" i="3"/>
  <c r="D5" i="3"/>
  <c r="AD14" i="3" l="1"/>
  <c r="AE6" i="3"/>
  <c r="AF3" i="3" s="1"/>
  <c r="F14" i="3"/>
  <c r="AA5" i="3"/>
  <c r="AG5" i="3" s="1"/>
  <c r="AA9" i="3"/>
  <c r="AG9" i="3" s="1"/>
  <c r="AA13" i="3"/>
  <c r="AG13" i="3" s="1"/>
  <c r="M14" i="3"/>
  <c r="AG7" i="3"/>
  <c r="AG11" i="3"/>
  <c r="AA12" i="3"/>
  <c r="AG12" i="3" s="1"/>
  <c r="AA6" i="3"/>
  <c r="AG6" i="3" s="1"/>
  <c r="AA10" i="3"/>
  <c r="AG10" i="3" s="1"/>
  <c r="H14" i="3"/>
  <c r="Z14" i="3"/>
  <c r="AA8" i="3"/>
  <c r="AG8" i="3" s="1"/>
  <c r="D14" i="3"/>
  <c r="X14" i="3"/>
  <c r="N2" i="3" l="1"/>
  <c r="AE14" i="3"/>
  <c r="AF7" i="3"/>
  <c r="AF13" i="3"/>
  <c r="I2" i="3"/>
  <c r="I10" i="3" s="1"/>
  <c r="AF5" i="3"/>
  <c r="AF6" i="3"/>
  <c r="AF8" i="3"/>
  <c r="AF10" i="3"/>
  <c r="AF9" i="3"/>
  <c r="AG14" i="3"/>
  <c r="AA14" i="3"/>
  <c r="AB14" i="3"/>
  <c r="N10" i="3" l="1"/>
  <c r="N9" i="3"/>
  <c r="N5" i="3"/>
  <c r="I5" i="3"/>
  <c r="I9" i="3"/>
  <c r="N14" i="3" l="1"/>
  <c r="O2" i="3" s="1"/>
  <c r="I14" i="3"/>
  <c r="J2" i="3" s="1"/>
  <c r="J5" i="3" s="1"/>
  <c r="K5" i="3" s="1"/>
  <c r="O7" i="3" l="1"/>
  <c r="P7" i="3" s="1"/>
  <c r="O11" i="3"/>
  <c r="P11" i="3" s="1"/>
  <c r="O8" i="3"/>
  <c r="P8" i="3" s="1"/>
  <c r="O12" i="3"/>
  <c r="P12" i="3" s="1"/>
  <c r="O5" i="3"/>
  <c r="O9" i="3"/>
  <c r="P9" i="3" s="1"/>
  <c r="O13" i="3"/>
  <c r="P13" i="3" s="1"/>
  <c r="O6" i="3"/>
  <c r="P6" i="3" s="1"/>
  <c r="O10" i="3"/>
  <c r="P10" i="3" s="1"/>
  <c r="J11" i="3"/>
  <c r="K11" i="3" s="1"/>
  <c r="Q11" i="3" s="1"/>
  <c r="J6" i="3"/>
  <c r="K6" i="3" s="1"/>
  <c r="J8" i="3"/>
  <c r="K8" i="3" s="1"/>
  <c r="Q8" i="3" s="1"/>
  <c r="J13" i="3"/>
  <c r="K13" i="3" s="1"/>
  <c r="Q13" i="3" s="1"/>
  <c r="J9" i="3"/>
  <c r="K9" i="3" s="1"/>
  <c r="J7" i="3"/>
  <c r="K7" i="3" s="1"/>
  <c r="J10" i="3"/>
  <c r="K10" i="3" s="1"/>
  <c r="Q10" i="3" s="1"/>
  <c r="J12" i="3"/>
  <c r="K12" i="3" s="1"/>
  <c r="T17" i="1"/>
  <c r="R17" i="1"/>
  <c r="N17" i="1"/>
  <c r="V13" i="1"/>
  <c r="X16" i="1"/>
  <c r="X15" i="1"/>
  <c r="X14" i="1"/>
  <c r="X13" i="1"/>
  <c r="X12" i="1"/>
  <c r="X11" i="1"/>
  <c r="X10" i="1"/>
  <c r="X9" i="1"/>
  <c r="R8" i="1"/>
  <c r="X8" i="1"/>
  <c r="Q9" i="3" l="1"/>
  <c r="S9" i="3" s="1"/>
  <c r="S12" i="3"/>
  <c r="Q12" i="3"/>
  <c r="Q7" i="3"/>
  <c r="S7" i="3" s="1"/>
  <c r="S6" i="3"/>
  <c r="Q6" i="3"/>
  <c r="S11" i="3"/>
  <c r="J14" i="3"/>
  <c r="S8" i="3"/>
  <c r="S13" i="3"/>
  <c r="O14" i="3"/>
  <c r="P5" i="3"/>
  <c r="K14" i="3"/>
  <c r="S10" i="3"/>
  <c r="J17" i="1"/>
  <c r="J5" i="2"/>
  <c r="P14" i="3" l="1"/>
  <c r="S5" i="3"/>
  <c r="D5" i="2"/>
  <c r="B14" i="2"/>
  <c r="C14" i="2"/>
  <c r="E14" i="2"/>
  <c r="G14" i="2"/>
  <c r="I14" i="2"/>
  <c r="L14" i="2"/>
  <c r="O14" i="2"/>
  <c r="Q14" i="2"/>
  <c r="Q14" i="3" l="1"/>
  <c r="S14" i="3"/>
  <c r="R5" i="2"/>
  <c r="R6" i="2"/>
  <c r="R7" i="2"/>
  <c r="R8" i="2"/>
  <c r="R9" i="2"/>
  <c r="R10" i="2"/>
  <c r="R11" i="2"/>
  <c r="R12" i="2"/>
  <c r="R13" i="2"/>
  <c r="P5" i="2"/>
  <c r="P6" i="2"/>
  <c r="P7" i="2"/>
  <c r="P8" i="2"/>
  <c r="P9" i="2"/>
  <c r="P10" i="2"/>
  <c r="P11" i="2"/>
  <c r="P12" i="2"/>
  <c r="P13" i="2"/>
  <c r="M5" i="2"/>
  <c r="M6" i="2"/>
  <c r="M7" i="2"/>
  <c r="M8" i="2"/>
  <c r="M9" i="2"/>
  <c r="M10" i="2"/>
  <c r="M11" i="2"/>
  <c r="M12" i="2"/>
  <c r="M13" i="2"/>
  <c r="J6" i="2"/>
  <c r="J7" i="2"/>
  <c r="J8" i="2"/>
  <c r="J9" i="2"/>
  <c r="J10" i="2"/>
  <c r="J11" i="2"/>
  <c r="J12" i="2"/>
  <c r="J13" i="2"/>
  <c r="H5" i="2"/>
  <c r="H6" i="2"/>
  <c r="H7" i="2"/>
  <c r="H8" i="2"/>
  <c r="H9" i="2"/>
  <c r="H10" i="2"/>
  <c r="H11" i="2"/>
  <c r="H12" i="2"/>
  <c r="H13" i="2"/>
  <c r="F5" i="2"/>
  <c r="F6" i="2"/>
  <c r="F7" i="2"/>
  <c r="F8" i="2"/>
  <c r="F9" i="2"/>
  <c r="F10" i="2"/>
  <c r="F11" i="2"/>
  <c r="F12" i="2"/>
  <c r="F13" i="2"/>
  <c r="D6" i="2"/>
  <c r="D7" i="2"/>
  <c r="D8" i="2"/>
  <c r="D9" i="2"/>
  <c r="D10" i="2"/>
  <c r="D11" i="2"/>
  <c r="D12" i="2"/>
  <c r="D13" i="2"/>
  <c r="K5" i="2" l="1"/>
  <c r="N5" i="2" s="1"/>
  <c r="K11" i="2"/>
  <c r="N11" i="2" s="1"/>
  <c r="S13" i="2"/>
  <c r="S9" i="2"/>
  <c r="S5" i="2"/>
  <c r="S11" i="2"/>
  <c r="S7" i="2"/>
  <c r="K7" i="2"/>
  <c r="N7" i="2" s="1"/>
  <c r="K10" i="2"/>
  <c r="N10" i="2" s="1"/>
  <c r="K6" i="2"/>
  <c r="N6" i="2" s="1"/>
  <c r="D14" i="2"/>
  <c r="S10" i="2"/>
  <c r="S6" i="2"/>
  <c r="T11" i="2"/>
  <c r="K13" i="2"/>
  <c r="N13" i="2" s="1"/>
  <c r="K9" i="2"/>
  <c r="T9" i="2" s="1"/>
  <c r="K12" i="2"/>
  <c r="N12" i="2" s="1"/>
  <c r="K8" i="2"/>
  <c r="N8" i="2" s="1"/>
  <c r="S12" i="2"/>
  <c r="S8" i="2"/>
  <c r="M14" i="2"/>
  <c r="F14" i="2"/>
  <c r="R14" i="2"/>
  <c r="J14" i="2"/>
  <c r="H14" i="2"/>
  <c r="P14" i="2"/>
  <c r="N9" i="2" l="1"/>
  <c r="N14" i="2" s="1"/>
  <c r="T5" i="2"/>
  <c r="T7" i="2"/>
  <c r="T13" i="2"/>
  <c r="T12" i="2"/>
  <c r="T10" i="2"/>
  <c r="T8" i="2"/>
  <c r="T6" i="2"/>
  <c r="K14" i="2"/>
  <c r="S14" i="2"/>
  <c r="U17" i="1"/>
  <c r="V9" i="1"/>
  <c r="V11" i="1" s="1"/>
  <c r="V8" i="1"/>
  <c r="V10" i="1" s="1"/>
  <c r="V12" i="1" s="1"/>
  <c r="V14" i="1" s="1"/>
  <c r="V16" i="1" s="1"/>
  <c r="T14" i="2" l="1"/>
  <c r="V15" i="1"/>
  <c r="V17" i="1" s="1"/>
  <c r="D8" i="1" l="1"/>
  <c r="D9" i="1"/>
  <c r="D10" i="1"/>
  <c r="D11" i="1"/>
  <c r="D12" i="1"/>
  <c r="D13" i="1"/>
  <c r="D14" i="1"/>
  <c r="D15" i="1"/>
  <c r="D16" i="1"/>
  <c r="C17" i="1"/>
  <c r="C18" i="1" s="1"/>
  <c r="I8" i="1"/>
  <c r="I9" i="1"/>
  <c r="I10" i="1"/>
  <c r="I11" i="1"/>
  <c r="I12" i="1"/>
  <c r="I13" i="1"/>
  <c r="I14" i="1"/>
  <c r="I15" i="1"/>
  <c r="I16" i="1"/>
  <c r="H17" i="1"/>
  <c r="O8" i="1"/>
  <c r="P8" i="1"/>
  <c r="T8" i="1"/>
  <c r="W8" i="1" s="1"/>
  <c r="D19" i="1"/>
  <c r="O19" i="1"/>
  <c r="Q19" i="1"/>
  <c r="I19" i="1"/>
  <c r="T19" i="1"/>
  <c r="W19" i="1" s="1"/>
  <c r="S17" i="1"/>
  <c r="S18" i="1" s="1"/>
  <c r="O9" i="1"/>
  <c r="O10" i="1"/>
  <c r="O11" i="1"/>
  <c r="O12" i="1"/>
  <c r="O13" i="1"/>
  <c r="O14" i="1"/>
  <c r="O15" i="1"/>
  <c r="O16" i="1"/>
  <c r="P9" i="1"/>
  <c r="Q9" i="1" s="1"/>
  <c r="P10" i="1"/>
  <c r="Q10" i="1" s="1"/>
  <c r="P11" i="1"/>
  <c r="Q11" i="1" s="1"/>
  <c r="P12" i="1"/>
  <c r="Q12" i="1" s="1"/>
  <c r="P13" i="1"/>
  <c r="Q13" i="1" s="1"/>
  <c r="P14" i="1"/>
  <c r="Q14" i="1" s="1"/>
  <c r="P15" i="1"/>
  <c r="Q15" i="1" s="1"/>
  <c r="P16" i="1"/>
  <c r="Q16" i="1" s="1"/>
  <c r="N18" i="1"/>
  <c r="H18" i="1"/>
  <c r="T16" i="1"/>
  <c r="W16" i="1" s="1"/>
  <c r="T15" i="1"/>
  <c r="W15" i="1" s="1"/>
  <c r="T14" i="1"/>
  <c r="W14" i="1" s="1"/>
  <c r="T13" i="1"/>
  <c r="W13" i="1" s="1"/>
  <c r="T12" i="1"/>
  <c r="W12" i="1" s="1"/>
  <c r="T11" i="1"/>
  <c r="W11" i="1" s="1"/>
  <c r="T10" i="1"/>
  <c r="W10" i="1" s="1"/>
  <c r="T9" i="1"/>
  <c r="W9" i="1" s="1"/>
  <c r="Q8" i="1" l="1"/>
  <c r="Q17" i="1" s="1"/>
  <c r="P17" i="1"/>
  <c r="O17" i="1"/>
  <c r="P18" i="1"/>
  <c r="I17" i="1"/>
  <c r="L6" i="1" s="1"/>
  <c r="L8" i="1" s="1"/>
  <c r="O18" i="1"/>
  <c r="R19" i="1"/>
  <c r="X19" i="1" s="1"/>
  <c r="I18" i="1"/>
  <c r="D17" i="1"/>
  <c r="D18" i="1" s="1"/>
  <c r="W17" i="1"/>
  <c r="L14" i="1" l="1"/>
  <c r="M14" i="1" s="1"/>
  <c r="L11" i="1"/>
  <c r="M11" i="1" s="1"/>
  <c r="Q18" i="1"/>
  <c r="L10" i="1"/>
  <c r="M10" i="1" s="1"/>
  <c r="L9" i="1"/>
  <c r="M9" i="1" s="1"/>
  <c r="L15" i="1"/>
  <c r="M15" i="1" s="1"/>
  <c r="L12" i="1"/>
  <c r="M12" i="1" s="1"/>
  <c r="L13" i="1"/>
  <c r="M13" i="1" s="1"/>
  <c r="L16" i="1"/>
  <c r="M16" i="1" s="1"/>
  <c r="F6" i="1"/>
  <c r="R18" i="1"/>
  <c r="T18" i="1"/>
  <c r="W18" i="1" s="1"/>
  <c r="G9" i="1" l="1"/>
  <c r="F17" i="1"/>
  <c r="G15" i="1"/>
  <c r="R15" i="1" s="1"/>
  <c r="L17" i="1"/>
  <c r="M8" i="1"/>
  <c r="M17" i="1" s="1"/>
  <c r="F15" i="1"/>
  <c r="G12" i="1"/>
  <c r="F9" i="1"/>
  <c r="G14" i="1"/>
  <c r="F14" i="1"/>
  <c r="G16" i="1"/>
  <c r="G11" i="1"/>
  <c r="F16" i="1"/>
  <c r="F10" i="1"/>
  <c r="G8" i="1"/>
  <c r="F11" i="1"/>
  <c r="G13" i="1"/>
  <c r="F12" i="1"/>
  <c r="G10" i="1"/>
  <c r="F8" i="1"/>
  <c r="F13" i="1"/>
  <c r="X18" i="1"/>
  <c r="U5" i="2" l="1"/>
  <c r="R16" i="1"/>
  <c r="U13" i="2" s="1"/>
  <c r="R12" i="1"/>
  <c r="U9" i="2" s="1"/>
  <c r="R10" i="1"/>
  <c r="U7" i="2" s="1"/>
  <c r="R13" i="1"/>
  <c r="U10" i="2" s="1"/>
  <c r="R14" i="1"/>
  <c r="U11" i="2" s="1"/>
  <c r="R11" i="1"/>
  <c r="U8" i="2" s="1"/>
  <c r="R9" i="1"/>
  <c r="U6" i="2" s="1"/>
  <c r="U12" i="2"/>
  <c r="G17" i="1"/>
  <c r="X17" i="1" s="1"/>
  <c r="U14" i="2" l="1"/>
</calcChain>
</file>

<file path=xl/sharedStrings.xml><?xml version="1.0" encoding="utf-8"?>
<sst xmlns="http://schemas.openxmlformats.org/spreadsheetml/2006/main" count="160" uniqueCount="97">
  <si>
    <t>№  по ред</t>
  </si>
  <si>
    <t>Детски градини</t>
  </si>
  <si>
    <t>доп. Компонент УПР</t>
  </si>
  <si>
    <t xml:space="preserve"> стандарта за яслената група</t>
  </si>
  <si>
    <t>Всичко за държавна  дейност 311</t>
  </si>
  <si>
    <t>Всичко за  градината</t>
  </si>
  <si>
    <t xml:space="preserve">брой деца </t>
  </si>
  <si>
    <t xml:space="preserve">ДГ "Нарцис" </t>
  </si>
  <si>
    <t xml:space="preserve">ДГ "Роза" </t>
  </si>
  <si>
    <t xml:space="preserve">ДГ "Ян Бибиян" </t>
  </si>
  <si>
    <t>ДГ "Добруджа"</t>
  </si>
  <si>
    <t>ДГ "Радост" - Силистра</t>
  </si>
  <si>
    <t>ДГ "Иглика" - Силистра</t>
  </si>
  <si>
    <t>Всичко за ДГ:</t>
  </si>
  <si>
    <t>резерв</t>
  </si>
  <si>
    <t>Всичко:</t>
  </si>
  <si>
    <r>
      <t xml:space="preserve">Норматив за създаване на у-я за                                                                                                                                                                                                                                                               приобщаващо образов. </t>
    </r>
    <r>
      <rPr>
        <b/>
        <u/>
        <sz val="7"/>
        <rFont val="Arial"/>
        <family val="2"/>
        <charset val="204"/>
      </rPr>
      <t>Дейност 338</t>
    </r>
  </si>
  <si>
    <t>ДГ "Здравец"- с. Калипетрово</t>
  </si>
  <si>
    <t>ДГ "Мир" -  с. Айдемир</t>
  </si>
  <si>
    <t>ДГ "Детелина"- с. Иширково</t>
  </si>
  <si>
    <t>Всичко за държавна  дейност 338</t>
  </si>
  <si>
    <t>Приложение №2</t>
  </si>
  <si>
    <t>доп. Компонент - 19 000 лв.</t>
  </si>
  <si>
    <t>стандарт за деца от 2 до 4 г   (100%)</t>
  </si>
  <si>
    <t xml:space="preserve">Всичко стандарт за деца от 2 до 4 г  </t>
  </si>
  <si>
    <t>стандарт за деца от 5 до 6 г.  (100%)</t>
  </si>
  <si>
    <t>Всичко стандарт за деца от 5 до 6 г.</t>
  </si>
  <si>
    <t>норматив за хранене на 5 и 6 год.</t>
  </si>
  <si>
    <t>ресурсно подпомагане</t>
  </si>
  <si>
    <t>базова формула 2017 и натури 01.01.2018 гг</t>
  </si>
  <si>
    <t xml:space="preserve">ДГ "Нарцис" - Силистра  </t>
  </si>
  <si>
    <t>ДГ "Роза" - Силистра</t>
  </si>
  <si>
    <t>ДГ "Ян Бибиян" - Силистра</t>
  </si>
  <si>
    <t>ДГ "Добруджа" - Силистра</t>
  </si>
  <si>
    <t>ДГ "Здравец"  - Калипетрово</t>
  </si>
  <si>
    <t>ДГ "Мир" -  Айдемир</t>
  </si>
  <si>
    <t>ДГ "Детелина" - Иширково</t>
  </si>
  <si>
    <t>Общо</t>
  </si>
  <si>
    <t>Хранене</t>
  </si>
  <si>
    <t>брой</t>
  </si>
  <si>
    <t>групи</t>
  </si>
  <si>
    <t>деца</t>
  </si>
  <si>
    <t>институция</t>
  </si>
  <si>
    <t>норматив за ресурсно</t>
  </si>
  <si>
    <t>Колона2</t>
  </si>
  <si>
    <t>Колона3</t>
  </si>
  <si>
    <t>Колона4</t>
  </si>
  <si>
    <t>Колона5</t>
  </si>
  <si>
    <t>Колона6</t>
  </si>
  <si>
    <t>Колона10</t>
  </si>
  <si>
    <t>Колона11</t>
  </si>
  <si>
    <t>Колона15</t>
  </si>
  <si>
    <t>Колона16</t>
  </si>
  <si>
    <t>Колона18</t>
  </si>
  <si>
    <t>Колона19</t>
  </si>
  <si>
    <t>Колона22</t>
  </si>
  <si>
    <t>Колона23</t>
  </si>
  <si>
    <t>разлики</t>
  </si>
  <si>
    <t xml:space="preserve">Яслени групи към детски градини
</t>
  </si>
  <si>
    <t>Стандарт за група в ДГ</t>
  </si>
  <si>
    <t>Общо 3 1 338</t>
  </si>
  <si>
    <t xml:space="preserve">2 - 4 год.
</t>
  </si>
  <si>
    <t>Име на  ДГ</t>
  </si>
  <si>
    <t xml:space="preserve"> </t>
  </si>
  <si>
    <t>Колона17</t>
  </si>
  <si>
    <t xml:space="preserve"> 5  -  6 год.</t>
  </si>
  <si>
    <t>Колона7</t>
  </si>
  <si>
    <t>Колона8</t>
  </si>
  <si>
    <t>Колона9</t>
  </si>
  <si>
    <t>Колона12</t>
  </si>
  <si>
    <t>Колона13</t>
  </si>
  <si>
    <t>Колона14</t>
  </si>
  <si>
    <t>311+338</t>
  </si>
  <si>
    <t>Колона24</t>
  </si>
  <si>
    <t>Колона25</t>
  </si>
  <si>
    <t>Колона26</t>
  </si>
  <si>
    <t>Колона242</t>
  </si>
  <si>
    <t>Колона253</t>
  </si>
  <si>
    <t>Колона264</t>
  </si>
  <si>
    <t>бюджет 20185</t>
  </si>
  <si>
    <t>Колона232</t>
  </si>
  <si>
    <t>компенсиране на (-) разлики</t>
  </si>
  <si>
    <t>ЛК 0.5%</t>
  </si>
  <si>
    <t>311 след компенсиране на разликите</t>
  </si>
  <si>
    <t>средства по стандарт за 2-4 год.</t>
  </si>
  <si>
    <t>средства по стандарт за 5-6 год.</t>
  </si>
  <si>
    <t>средства по формула за д-ст 311</t>
  </si>
  <si>
    <t>с р е д с т в а   по   ф о р м у л а</t>
  </si>
  <si>
    <t>средства над определените по стандарти за д-ст 311</t>
  </si>
  <si>
    <t>Общо за д-ст 311</t>
  </si>
  <si>
    <t>Колона20</t>
  </si>
  <si>
    <t>Колона21</t>
  </si>
  <si>
    <t>Колона27</t>
  </si>
  <si>
    <t>Колона28</t>
  </si>
  <si>
    <t>Колона1</t>
  </si>
  <si>
    <t>Резерв</t>
  </si>
  <si>
    <t>Приложение 2 към Заповед №ЗК-344/23.02.2018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</si>
</sst>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7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16"/>
      <name val="Arial"/>
      <family val="2"/>
      <charset val="204"/>
    </font>
    <font>
      <b/>
      <u/>
      <sz val="7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219">
    <xf numFmtId="0" fontId="0" fillId="0" borderId="0" xfId="0"/>
    <xf numFmtId="0" fontId="1" fillId="0" borderId="0" xfId="0" applyFont="1" applyFill="1"/>
    <xf numFmtId="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1" fontId="1" fillId="0" borderId="0" xfId="0" applyNumberFormat="1" applyFont="1" applyFill="1" applyBorder="1"/>
    <xf numFmtId="1" fontId="1" fillId="0" borderId="1" xfId="0" applyNumberFormat="1" applyFont="1" applyFill="1" applyBorder="1"/>
    <xf numFmtId="1" fontId="2" fillId="0" borderId="0" xfId="0" applyNumberFormat="1" applyFont="1" applyFill="1" applyBorder="1"/>
    <xf numFmtId="1" fontId="1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3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" fontId="2" fillId="2" borderId="1" xfId="0" applyNumberFormat="1" applyFont="1" applyFill="1" applyBorder="1"/>
    <xf numFmtId="2" fontId="2" fillId="0" borderId="1" xfId="0" applyNumberFormat="1" applyFont="1" applyFill="1" applyBorder="1"/>
    <xf numFmtId="1" fontId="2" fillId="0" borderId="1" xfId="0" applyNumberFormat="1" applyFont="1" applyFill="1" applyBorder="1"/>
    <xf numFmtId="1" fontId="2" fillId="3" borderId="1" xfId="0" applyNumberFormat="1" applyFont="1" applyFill="1" applyBorder="1"/>
    <xf numFmtId="2" fontId="1" fillId="0" borderId="1" xfId="0" applyNumberFormat="1" applyFont="1" applyFill="1" applyBorder="1"/>
    <xf numFmtId="0" fontId="2" fillId="0" borderId="0" xfId="0" applyFont="1" applyFill="1"/>
    <xf numFmtId="0" fontId="6" fillId="3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0" borderId="0" xfId="0" applyFont="1" applyFill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/>
    <xf numFmtId="1" fontId="2" fillId="0" borderId="9" xfId="0" applyNumberFormat="1" applyFont="1" applyFill="1" applyBorder="1"/>
    <xf numFmtId="1" fontId="2" fillId="3" borderId="9" xfId="0" applyNumberFormat="1" applyFont="1" applyFill="1" applyBorder="1"/>
    <xf numFmtId="1" fontId="1" fillId="0" borderId="9" xfId="0" applyNumberFormat="1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2" fillId="0" borderId="11" xfId="0" applyFont="1" applyFill="1" applyBorder="1"/>
    <xf numFmtId="1" fontId="2" fillId="0" borderId="11" xfId="0" applyNumberFormat="1" applyFont="1" applyFill="1" applyBorder="1"/>
    <xf numFmtId="1" fontId="2" fillId="3" borderId="11" xfId="0" applyNumberFormat="1" applyFont="1" applyFill="1" applyBorder="1"/>
    <xf numFmtId="1" fontId="1" fillId="0" borderId="11" xfId="0" applyNumberFormat="1" applyFont="1" applyFill="1" applyBorder="1"/>
    <xf numFmtId="1" fontId="1" fillId="3" borderId="11" xfId="0" applyNumberFormat="1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3" borderId="13" xfId="0" applyFont="1" applyFill="1" applyBorder="1"/>
    <xf numFmtId="0" fontId="7" fillId="0" borderId="13" xfId="0" applyFont="1" applyFill="1" applyBorder="1"/>
    <xf numFmtId="1" fontId="2" fillId="3" borderId="13" xfId="0" applyNumberFormat="1" applyFont="1" applyFill="1" applyBorder="1"/>
    <xf numFmtId="0" fontId="1" fillId="0" borderId="13" xfId="0" applyFont="1" applyFill="1" applyBorder="1"/>
    <xf numFmtId="1" fontId="1" fillId="0" borderId="13" xfId="0" applyNumberFormat="1" applyFont="1" applyFill="1" applyBorder="1"/>
    <xf numFmtId="1" fontId="1" fillId="3" borderId="13" xfId="0" applyNumberFormat="1" applyFont="1" applyFill="1" applyBorder="1"/>
    <xf numFmtId="0" fontId="2" fillId="3" borderId="11" xfId="0" applyFont="1" applyFill="1" applyBorder="1"/>
    <xf numFmtId="0" fontId="6" fillId="3" borderId="14" xfId="0" applyFont="1" applyFill="1" applyBorder="1" applyAlignment="1">
      <alignment horizontal="center"/>
    </xf>
    <xf numFmtId="1" fontId="1" fillId="3" borderId="17" xfId="0" applyNumberFormat="1" applyFont="1" applyFill="1" applyBorder="1"/>
    <xf numFmtId="1" fontId="1" fillId="3" borderId="18" xfId="0" applyNumberFormat="1" applyFont="1" applyFill="1" applyBorder="1"/>
    <xf numFmtId="0" fontId="9" fillId="0" borderId="0" xfId="0" applyFont="1" applyFill="1" applyAlignment="1">
      <alignment horizontal="center"/>
    </xf>
    <xf numFmtId="1" fontId="2" fillId="3" borderId="15" xfId="0" applyNumberFormat="1" applyFont="1" applyFill="1" applyBorder="1"/>
    <xf numFmtId="2" fontId="13" fillId="0" borderId="5" xfId="1" applyNumberFormat="1" applyFont="1" applyFill="1" applyBorder="1" applyAlignment="1">
      <alignment horizontal="center"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0" fillId="0" borderId="3" xfId="0" applyNumberFormat="1" applyBorder="1"/>
    <xf numFmtId="3" fontId="0" fillId="0" borderId="30" xfId="0" applyNumberFormat="1" applyBorder="1"/>
    <xf numFmtId="0" fontId="13" fillId="0" borderId="14" xfId="1" applyNumberFormat="1" applyFont="1" applyFill="1" applyBorder="1" applyAlignment="1">
      <alignment horizontal="center" vertical="center" wrapText="1"/>
    </xf>
    <xf numFmtId="3" fontId="10" fillId="0" borderId="3" xfId="1" applyNumberFormat="1" applyBorder="1"/>
    <xf numFmtId="3" fontId="0" fillId="0" borderId="4" xfId="0" applyNumberFormat="1" applyBorder="1"/>
    <xf numFmtId="3" fontId="0" fillId="0" borderId="29" xfId="0" applyNumberFormat="1" applyBorder="1"/>
    <xf numFmtId="0" fontId="4" fillId="0" borderId="15" xfId="0" applyFont="1" applyBorder="1"/>
    <xf numFmtId="3" fontId="0" fillId="0" borderId="5" xfId="0" applyNumberFormat="1" applyBorder="1"/>
    <xf numFmtId="3" fontId="10" fillId="0" borderId="15" xfId="1" applyNumberFormat="1" applyBorder="1"/>
    <xf numFmtId="3" fontId="0" fillId="0" borderId="15" xfId="0" applyNumberFormat="1" applyBorder="1"/>
    <xf numFmtId="3" fontId="0" fillId="0" borderId="8" xfId="0" applyNumberFormat="1" applyBorder="1"/>
    <xf numFmtId="3" fontId="0" fillId="0" borderId="16" xfId="0" applyNumberFormat="1" applyBorder="1"/>
    <xf numFmtId="3" fontId="10" fillId="0" borderId="5" xfId="1" applyNumberFormat="1" applyBorder="1"/>
    <xf numFmtId="2" fontId="13" fillId="0" borderId="3" xfId="1" applyNumberFormat="1" applyFont="1" applyFill="1" applyBorder="1" applyAlignment="1">
      <alignment horizontal="center" vertical="center" wrapText="1"/>
    </xf>
    <xf numFmtId="2" fontId="13" fillId="0" borderId="38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0" fillId="0" borderId="41" xfId="0" applyNumberFormat="1" applyBorder="1"/>
    <xf numFmtId="3" fontId="0" fillId="0" borderId="34" xfId="0" applyNumberFormat="1" applyBorder="1"/>
    <xf numFmtId="0" fontId="14" fillId="0" borderId="35" xfId="0" applyFont="1" applyFill="1" applyBorder="1" applyAlignment="1">
      <alignment horizontal="left" vertical="center" wrapText="1"/>
    </xf>
    <xf numFmtId="0" fontId="14" fillId="0" borderId="41" xfId="0" applyFont="1" applyFill="1" applyBorder="1" applyAlignment="1">
      <alignment horizontal="left" vertical="center" wrapText="1"/>
    </xf>
    <xf numFmtId="0" fontId="14" fillId="0" borderId="34" xfId="0" applyFont="1" applyFill="1" applyBorder="1" applyAlignment="1">
      <alignment horizontal="left" vertical="center" wrapText="1"/>
    </xf>
    <xf numFmtId="2" fontId="13" fillId="0" borderId="4" xfId="1" applyNumberFormat="1" applyFont="1" applyFill="1" applyBorder="1" applyAlignment="1">
      <alignment horizontal="center" vertical="center" wrapText="1"/>
    </xf>
    <xf numFmtId="3" fontId="10" fillId="0" borderId="4" xfId="1" applyNumberFormat="1" applyBorder="1"/>
    <xf numFmtId="0" fontId="14" fillId="0" borderId="33" xfId="0" applyFont="1" applyFill="1" applyBorder="1" applyAlignment="1">
      <alignment horizontal="left" vertical="center" wrapText="1"/>
    </xf>
    <xf numFmtId="3" fontId="14" fillId="0" borderId="42" xfId="0" applyNumberFormat="1" applyFont="1" applyFill="1" applyBorder="1" applyAlignment="1">
      <alignment horizontal="left" vertical="center" wrapText="1"/>
    </xf>
    <xf numFmtId="0" fontId="11" fillId="0" borderId="43" xfId="0" applyFont="1" applyBorder="1" applyAlignment="1">
      <alignment horizontal="center" vertical="center" wrapText="1"/>
    </xf>
    <xf numFmtId="0" fontId="4" fillId="0" borderId="41" xfId="0" applyFont="1" applyBorder="1"/>
    <xf numFmtId="3" fontId="0" fillId="0" borderId="42" xfId="0" applyNumberFormat="1" applyBorder="1"/>
    <xf numFmtId="3" fontId="0" fillId="0" borderId="32" xfId="0" applyNumberFormat="1" applyBorder="1"/>
    <xf numFmtId="0" fontId="0" fillId="0" borderId="44" xfId="0" applyBorder="1"/>
    <xf numFmtId="1" fontId="0" fillId="0" borderId="0" xfId="0" applyNumberFormat="1"/>
    <xf numFmtId="0" fontId="13" fillId="0" borderId="41" xfId="1" applyNumberFormat="1" applyFont="1" applyFill="1" applyBorder="1" applyAlignment="1">
      <alignment horizontal="center" vertical="center" wrapText="1"/>
    </xf>
    <xf numFmtId="3" fontId="10" fillId="0" borderId="41" xfId="1" applyNumberFormat="1" applyBorder="1"/>
    <xf numFmtId="164" fontId="11" fillId="0" borderId="2" xfId="1" applyNumberFormat="1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4" fillId="0" borderId="42" xfId="0" applyFont="1" applyBorder="1"/>
    <xf numFmtId="3" fontId="10" fillId="0" borderId="42" xfId="1" applyNumberFormat="1" applyBorder="1"/>
    <xf numFmtId="3" fontId="0" fillId="0" borderId="1" xfId="0" applyNumberFormat="1" applyBorder="1"/>
    <xf numFmtId="1" fontId="0" fillId="0" borderId="1" xfId="0" applyNumberFormat="1" applyBorder="1"/>
    <xf numFmtId="0" fontId="0" fillId="0" borderId="34" xfId="0" applyBorder="1"/>
    <xf numFmtId="1" fontId="0" fillId="0" borderId="34" xfId="0" applyNumberFormat="1" applyBorder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46" xfId="0" applyFont="1" applyBorder="1"/>
    <xf numFmtId="3" fontId="10" fillId="0" borderId="46" xfId="1" applyNumberFormat="1" applyBorder="1"/>
    <xf numFmtId="3" fontId="0" fillId="0" borderId="46" xfId="0" applyNumberFormat="1" applyBorder="1"/>
    <xf numFmtId="3" fontId="0" fillId="0" borderId="48" xfId="0" applyNumberFormat="1" applyBorder="1"/>
    <xf numFmtId="0" fontId="0" fillId="0" borderId="1" xfId="0" applyBorder="1"/>
    <xf numFmtId="3" fontId="14" fillId="0" borderId="21" xfId="0" applyNumberFormat="1" applyFont="1" applyFill="1" applyBorder="1" applyAlignment="1">
      <alignment horizontal="center" vertical="center" wrapText="1"/>
    </xf>
    <xf numFmtId="3" fontId="14" fillId="0" borderId="29" xfId="0" applyNumberFormat="1" applyFont="1" applyFill="1" applyBorder="1" applyAlignment="1">
      <alignment horizontal="center" vertical="center" wrapText="1"/>
    </xf>
    <xf numFmtId="3" fontId="14" fillId="0" borderId="30" xfId="0" applyNumberFormat="1" applyFont="1" applyFill="1" applyBorder="1" applyAlignment="1">
      <alignment horizontal="center" vertical="center" wrapText="1"/>
    </xf>
    <xf numFmtId="3" fontId="14" fillId="0" borderId="39" xfId="0" applyNumberFormat="1" applyFont="1" applyFill="1" applyBorder="1" applyAlignment="1">
      <alignment horizontal="center" vertical="center" wrapText="1"/>
    </xf>
    <xf numFmtId="3" fontId="14" fillId="0" borderId="40" xfId="0" applyNumberFormat="1" applyFont="1" applyFill="1" applyBorder="1" applyAlignment="1">
      <alignment horizontal="center" vertical="center" wrapText="1"/>
    </xf>
    <xf numFmtId="3" fontId="14" fillId="0" borderId="34" xfId="0" applyNumberFormat="1" applyFont="1" applyFill="1" applyBorder="1" applyAlignment="1">
      <alignment horizontal="center" vertical="center" wrapText="1"/>
    </xf>
    <xf numFmtId="0" fontId="13" fillId="0" borderId="42" xfId="1" applyNumberFormat="1" applyFont="1" applyFill="1" applyBorder="1" applyAlignment="1">
      <alignment horizontal="center" vertical="center" wrapText="1"/>
    </xf>
    <xf numFmtId="0" fontId="13" fillId="0" borderId="46" xfId="1" applyNumberFormat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3" fillId="0" borderId="1" xfId="1" applyNumberFormat="1" applyFont="1" applyFill="1" applyBorder="1" applyAlignment="1">
      <alignment horizontal="center" vertical="center" wrapText="1"/>
    </xf>
    <xf numFmtId="3" fontId="10" fillId="0" borderId="1" xfId="1" applyNumberFormat="1" applyBorder="1"/>
    <xf numFmtId="0" fontId="13" fillId="0" borderId="5" xfId="1" applyNumberFormat="1" applyFont="1" applyFill="1" applyBorder="1" applyAlignment="1">
      <alignment horizontal="center" vertical="center" wrapText="1"/>
    </xf>
    <xf numFmtId="2" fontId="11" fillId="0" borderId="35" xfId="1" applyNumberFormat="1" applyFont="1" applyFill="1" applyBorder="1" applyAlignment="1">
      <alignment horizontal="center" vertical="center" wrapText="1"/>
    </xf>
    <xf numFmtId="1" fontId="11" fillId="0" borderId="33" xfId="1" applyNumberFormat="1" applyFont="1" applyFill="1" applyBorder="1" applyAlignment="1">
      <alignment horizontal="center" vertical="center" wrapText="1"/>
    </xf>
    <xf numFmtId="49" fontId="4" fillId="0" borderId="47" xfId="1" applyNumberFormat="1" applyFont="1" applyFill="1" applyBorder="1" applyAlignment="1">
      <alignment horizontal="center" vertical="center" wrapText="1"/>
    </xf>
    <xf numFmtId="2" fontId="11" fillId="0" borderId="38" xfId="1" applyNumberFormat="1" applyFont="1" applyFill="1" applyBorder="1" applyAlignment="1">
      <alignment horizontal="center" vertical="center" wrapText="1"/>
    </xf>
    <xf numFmtId="1" fontId="11" fillId="0" borderId="6" xfId="1" applyNumberFormat="1" applyFont="1" applyFill="1" applyBorder="1" applyAlignment="1">
      <alignment horizontal="center" vertical="center" wrapText="1"/>
    </xf>
    <xf numFmtId="49" fontId="4" fillId="0" borderId="14" xfId="1" applyNumberFormat="1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11" fillId="0" borderId="20" xfId="0" applyFont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left" vertical="top" wrapText="1"/>
    </xf>
    <xf numFmtId="0" fontId="14" fillId="0" borderId="33" xfId="0" applyFont="1" applyFill="1" applyBorder="1" applyAlignment="1">
      <alignment horizontal="left" vertical="top" wrapText="1"/>
    </xf>
    <xf numFmtId="0" fontId="0" fillId="0" borderId="6" xfId="0" applyBorder="1" applyAlignment="1">
      <alignment vertical="top"/>
    </xf>
    <xf numFmtId="1" fontId="0" fillId="0" borderId="6" xfId="0" applyNumberFormat="1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/>
    </xf>
    <xf numFmtId="3" fontId="4" fillId="0" borderId="1" xfId="0" applyNumberFormat="1" applyFont="1" applyBorder="1"/>
    <xf numFmtId="3" fontId="14" fillId="0" borderId="32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center" vertical="center" wrapText="1"/>
    </xf>
    <xf numFmtId="3" fontId="14" fillId="0" borderId="16" xfId="0" applyNumberFormat="1" applyFont="1" applyFill="1" applyBorder="1" applyAlignment="1">
      <alignment horizontal="center" vertical="center" wrapText="1"/>
    </xf>
    <xf numFmtId="3" fontId="14" fillId="0" borderId="9" xfId="0" applyNumberFormat="1" applyFont="1" applyFill="1" applyBorder="1" applyAlignment="1">
      <alignment horizontal="center" vertical="center" wrapText="1"/>
    </xf>
    <xf numFmtId="3" fontId="14" fillId="0" borderId="48" xfId="0" applyNumberFormat="1" applyFont="1" applyFill="1" applyBorder="1" applyAlignment="1">
      <alignment horizontal="center" vertical="center" wrapText="1"/>
    </xf>
    <xf numFmtId="1" fontId="0" fillId="0" borderId="9" xfId="0" applyNumberFormat="1" applyBorder="1"/>
    <xf numFmtId="1" fontId="15" fillId="0" borderId="9" xfId="0" applyNumberFormat="1" applyFont="1" applyBorder="1"/>
    <xf numFmtId="3" fontId="4" fillId="0" borderId="9" xfId="0" applyNumberFormat="1" applyFont="1" applyBorder="1"/>
    <xf numFmtId="0" fontId="0" fillId="0" borderId="6" xfId="0" applyBorder="1"/>
    <xf numFmtId="1" fontId="0" fillId="0" borderId="6" xfId="0" applyNumberFormat="1" applyBorder="1"/>
    <xf numFmtId="0" fontId="0" fillId="0" borderId="10" xfId="0" applyBorder="1"/>
    <xf numFmtId="0" fontId="0" fillId="0" borderId="11" xfId="0" applyBorder="1"/>
    <xf numFmtId="1" fontId="0" fillId="0" borderId="11" xfId="0" applyNumberFormat="1" applyBorder="1"/>
    <xf numFmtId="3" fontId="11" fillId="0" borderId="11" xfId="0" applyNumberFormat="1" applyFont="1" applyBorder="1"/>
    <xf numFmtId="3" fontId="11" fillId="0" borderId="17" xfId="0" applyNumberFormat="1" applyFont="1" applyBorder="1"/>
    <xf numFmtId="0" fontId="9" fillId="0" borderId="0" xfId="0" applyFont="1" applyAlignment="1">
      <alignment wrapText="1"/>
    </xf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" fillId="0" borderId="0" xfId="0" applyFont="1" applyFill="1"/>
    <xf numFmtId="0" fontId="2" fillId="3" borderId="27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3" xfId="1" applyFont="1" applyFill="1" applyBorder="1" applyAlignment="1">
      <alignment horizontal="center" vertical="center" wrapText="1"/>
    </xf>
    <xf numFmtId="0" fontId="11" fillId="0" borderId="33" xfId="1" applyFont="1" applyFill="1" applyBorder="1" applyAlignment="1">
      <alignment horizontal="center" vertical="center" wrapText="1"/>
    </xf>
    <xf numFmtId="16" fontId="11" fillId="0" borderId="31" xfId="1" applyNumberFormat="1" applyFont="1" applyFill="1" applyBorder="1" applyAlignment="1">
      <alignment horizontal="center" wrapText="1"/>
    </xf>
    <xf numFmtId="16" fontId="11" fillId="0" borderId="27" xfId="1" applyNumberFormat="1" applyFont="1" applyFill="1" applyBorder="1" applyAlignment="1">
      <alignment horizont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2" fontId="11" fillId="0" borderId="31" xfId="1" applyNumberFormat="1" applyFont="1" applyFill="1" applyBorder="1" applyAlignment="1">
      <alignment horizontal="center" vertical="center" wrapText="1"/>
    </xf>
    <xf numFmtId="2" fontId="11" fillId="0" borderId="27" xfId="1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4" xfId="1" applyFont="1" applyFill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center" vertical="center" wrapText="1"/>
    </xf>
    <xf numFmtId="0" fontId="4" fillId="0" borderId="50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2" fontId="11" fillId="0" borderId="47" xfId="1" applyNumberFormat="1" applyFont="1" applyFill="1" applyBorder="1" applyAlignment="1">
      <alignment horizontal="center" vertical="center" wrapText="1"/>
    </xf>
    <xf numFmtId="2" fontId="11" fillId="0" borderId="49" xfId="1" applyNumberFormat="1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center"/>
    </xf>
    <xf numFmtId="0" fontId="16" fillId="0" borderId="52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3" fillId="0" borderId="36" xfId="0" applyFont="1" applyBorder="1" applyAlignment="1">
      <alignment horizontal="center" wrapText="1"/>
    </xf>
    <xf numFmtId="0" fontId="13" fillId="0" borderId="37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16" fontId="11" fillId="0" borderId="47" xfId="1" applyNumberFormat="1" applyFont="1" applyFill="1" applyBorder="1" applyAlignment="1">
      <alignment horizontal="center" wrapText="1"/>
    </xf>
    <xf numFmtId="16" fontId="11" fillId="0" borderId="35" xfId="1" applyNumberFormat="1" applyFont="1" applyFill="1" applyBorder="1" applyAlignment="1">
      <alignment horizontal="center" wrapText="1"/>
    </xf>
  </cellXfs>
  <cellStyles count="3">
    <cellStyle name="Normal 2" xfId="2"/>
    <cellStyle name="Нормален" xfId="0" builtinId="0"/>
    <cellStyle name="Нормален 2" xfId="1"/>
  </cellStyles>
  <dxfs count="116">
    <dxf>
      <numFmt numFmtId="1" formatCode="0"/>
      <border diagonalUp="0" diagonalDown="0" outline="0">
        <left/>
        <right/>
        <top style="thin">
          <color indexed="64"/>
        </top>
        <bottom/>
      </border>
    </dxf>
    <dxf>
      <numFmt numFmtId="1" formatCode="0"/>
    </dxf>
    <dxf>
      <border diagonalUp="0" diagonalDown="0" outline="0">
        <left/>
        <right/>
        <top style="thin">
          <color indexed="64"/>
        </top>
        <bottom/>
      </border>
    </dxf>
    <dxf>
      <numFmt numFmtId="1" formatCode="0"/>
    </dxf>
    <dxf>
      <numFmt numFmtId="1" formatCode="0"/>
      <border diagonalUp="0" diagonalDown="0" outline="0">
        <left/>
        <right/>
        <top style="thin">
          <color indexed="64"/>
        </top>
        <bottom/>
      </border>
    </dxf>
    <dxf>
      <numFmt numFmtId="1" formatCode="0"/>
    </dxf>
    <dxf>
      <numFmt numFmtId="1" formatCode="0"/>
      <border diagonalUp="0" diagonalDown="0" outline="0">
        <left/>
        <right/>
        <top style="thin">
          <color indexed="64"/>
        </top>
        <bottom/>
      </border>
    </dxf>
    <dxf>
      <numFmt numFmtId="1" formatCode="0"/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4:U14" totalsRowCount="1" headerRowDxfId="115" headerRowBorderDxfId="114" tableBorderDxfId="113" totalsRowBorderDxfId="112">
  <autoFilter ref="A4:U13"/>
  <tableColumns count="21">
    <tableColumn id="1" name=" " totalsRowLabel="Общо" dataDxfId="111" totalsRowDxfId="110"/>
    <tableColumn id="2" name="Колона2" totalsRowFunction="sum" dataDxfId="109" totalsRowDxfId="108"/>
    <tableColumn id="3" name="Колона3" totalsRowFunction="sum" dataDxfId="107" totalsRowDxfId="106" dataCellStyle="Нормален 2"/>
    <tableColumn id="4" name="Колона4" totalsRowFunction="sum" dataDxfId="105" totalsRowDxfId="104" dataCellStyle="Нормален 2">
      <calculatedColumnFormula>C5*$D$3</calculatedColumnFormula>
    </tableColumn>
    <tableColumn id="5" name="Колона5" totalsRowFunction="sum" dataDxfId="103" totalsRowDxfId="102" dataCellStyle="Нормален 2"/>
    <tableColumn id="6" name="Колона6" totalsRowFunction="sum" dataDxfId="101" totalsRowDxfId="100" dataCellStyle="Нормален 2">
      <calculatedColumnFormula>E5*$F$3</calculatedColumnFormula>
    </tableColumn>
    <tableColumn id="10" name="Колона7" totalsRowFunction="sum" dataDxfId="99" totalsRowDxfId="98" dataCellStyle="Нормален 2"/>
    <tableColumn id="11" name="Колона8" totalsRowFunction="sum" dataDxfId="97" totalsRowDxfId="96" dataCellStyle="Нормален 2">
      <calculatedColumnFormula>G5*$H$3</calculatedColumnFormula>
    </tableColumn>
    <tableColumn id="15" name="Колона9" totalsRowFunction="sum" dataDxfId="95" totalsRowDxfId="94" dataCellStyle="Нормален 2"/>
    <tableColumn id="16" name="Колона10" totalsRowFunction="sum" dataDxfId="93" totalsRowDxfId="92" dataCellStyle="Нормален 2">
      <calculatedColumnFormula>I5*$J$3</calculatedColumnFormula>
    </tableColumn>
    <tableColumn id="8" name="Колона11" totalsRowFunction="sum" dataDxfId="91" totalsRowDxfId="90" dataCellStyle="Нормален 2">
      <calculatedColumnFormula>(Таблица2[[#This Row],[Колона2]]+Таблица2[[#This Row],[Колона4]]+Таблица2[[#This Row],[Колона6]]+Таблица2[[#This Row],[Колона8]]+Таблица2[[#This Row],[Колона10]])*$K$2</calculatedColumnFormula>
    </tableColumn>
    <tableColumn id="18" name="Колона12" totalsRowFunction="sum" dataDxfId="89" totalsRowDxfId="88"/>
    <tableColumn id="19" name="Колона13" totalsRowFunction="sum" dataDxfId="87" totalsRowDxfId="86">
      <calculatedColumnFormula>L5*$M$3</calculatedColumnFormula>
    </tableColumn>
    <tableColumn id="13" name="Колона14" totalsRowFunction="sum" dataDxfId="85" totalsRowDxfId="84">
      <calculatedColumnFormula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calculatedColumnFormula>
    </tableColumn>
    <tableColumn id="20" name="Колона15" totalsRowFunction="sum" dataDxfId="83" totalsRowDxfId="82"/>
    <tableColumn id="21" name="Колона16" totalsRowFunction="sum" dataDxfId="81" totalsRowDxfId="80">
      <calculatedColumnFormula>O5*$P$3</calculatedColumnFormula>
    </tableColumn>
    <tableColumn id="22" name="Колона17" totalsRowFunction="sum" dataDxfId="79" totalsRowDxfId="78"/>
    <tableColumn id="23" name="Колона18" totalsRowFunction="sum" dataDxfId="77" totalsRowDxfId="76">
      <calculatedColumnFormula>Q5*$R$3</calculatedColumnFormula>
    </tableColumn>
    <tableColumn id="24" name="Колона19" totalsRowFunction="sum" dataDxfId="75" totalsRowDxfId="74">
      <calculatedColumnFormula>Таблица2[[#This Row],[Колона16]]+Таблица2[[#This Row],[Колона18]]</calculatedColumnFormula>
    </tableColumn>
    <tableColumn id="9" name="Колона22" totalsRowFunction="sum" dataDxfId="73" totalsRowDxfId="72">
      <calculatedColumnFormula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calculatedColumnFormula>
    </tableColumn>
    <tableColumn id="12" name="Колона23" totalsRowFunction="sum" dataDxfId="71" totalsRowDxfId="70">
      <calculatedColumnFormula>Таблица2[[#This Row],[Колона22]]-'2017'!X8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3" name="Таблица24" displayName="Таблица24" ref="A4:AG14" totalsRowCount="1" headerRowDxfId="69" headerRowBorderDxfId="68" tableBorderDxfId="67" totalsRowBorderDxfId="66">
  <autoFilter ref="A4:AG13"/>
  <tableColumns count="33">
    <tableColumn id="1" name="Колона1" totalsRowLabel="Общо" dataDxfId="65" totalsRowDxfId="64"/>
    <tableColumn id="2" name="Колона2" totalsRowFunction="sum" dataDxfId="63" totalsRowDxfId="62"/>
    <tableColumn id="3" name="Колона3" totalsRowFunction="sum" dataDxfId="61" totalsRowDxfId="60" dataCellStyle="Нормален 2"/>
    <tableColumn id="4" name="Колона4" totalsRowFunction="sum" dataDxfId="59" totalsRowDxfId="58" dataCellStyle="Нормален 2">
      <calculatedColumnFormula>C5*$D$3</calculatedColumnFormula>
    </tableColumn>
    <tableColumn id="5" name="Колона5" totalsRowFunction="sum" dataDxfId="57" totalsRowDxfId="56" dataCellStyle="Нормален 2"/>
    <tableColumn id="6" name="Колона6" totalsRowFunction="sum" dataDxfId="55" totalsRowDxfId="54" dataCellStyle="Нормален 2">
      <calculatedColumnFormula>E5*$F$3</calculatedColumnFormula>
    </tableColumn>
    <tableColumn id="10" name="Колона7" totalsRowFunction="sum" dataDxfId="53" totalsRowDxfId="52" dataCellStyle="Нормален 2"/>
    <tableColumn id="11" name="Колона8" totalsRowFunction="sum" dataDxfId="51" totalsRowDxfId="50" dataCellStyle="Нормален 2">
      <calculatedColumnFormula>G5*$H$3</calculatedColumnFormula>
    </tableColumn>
    <tableColumn id="8" name="Колона9" totalsRowFunction="sum" dataDxfId="49" totalsRowDxfId="48" dataCellStyle="Нормален 2"/>
    <tableColumn id="32" name="Колона10" totalsRowFunction="sum" dataDxfId="47" totalsRowDxfId="46" dataCellStyle="Нормален 2">
      <calculatedColumnFormula>$J$2/Таблица24[[#Totals],[Колона7]]*Таблица24[[#This Row],[Колона7]]</calculatedColumnFormula>
    </tableColumn>
    <tableColumn id="33" name="Колона11" totalsRowFunction="sum" dataDxfId="45" totalsRowDxfId="44" dataCellStyle="Нормален 2">
      <calculatedColumnFormula>Таблица24[[#This Row],[Колона9]]+Таблица24[[#This Row],[Колона10]]</calculatedColumnFormula>
    </tableColumn>
    <tableColumn id="15" name="Колона12" totalsRowFunction="sum" dataDxfId="43" totalsRowDxfId="42" dataCellStyle="Нормален 2"/>
    <tableColumn id="16" name="Колона13" totalsRowFunction="sum" dataDxfId="41" totalsRowDxfId="40" dataCellStyle="Нормален 2">
      <calculatedColumnFormula>L5*$M$3</calculatedColumnFormula>
    </tableColumn>
    <tableColumn id="35" name="Колона14" totalsRowFunction="sum" dataDxfId="39" totalsRowDxfId="38" dataCellStyle="Нормален 2"/>
    <tableColumn id="34" name="Колона15" totalsRowFunction="sum" dataDxfId="37" totalsRowDxfId="36" dataCellStyle="Нормален 2">
      <calculatedColumnFormula>$O$2/Таблица24[[#Totals],[Колона12]]*Таблица24[[#This Row],[Колона12]]</calculatedColumnFormula>
    </tableColumn>
    <tableColumn id="31" name="Колона16" totalsRowFunction="sum" dataDxfId="35" totalsRowDxfId="34" dataCellStyle="Нормален 2">
      <calculatedColumnFormula>Таблица24[[#This Row],[Колона14]]+Таблица24[[#This Row],[Колона15]]</calculatedColumnFormula>
    </tableColumn>
    <tableColumn id="13" name="Колона17" totalsRowFunction="sum" dataDxfId="33" totalsRowDxfId="32">
      <calculatedColumnFormula>Таблица24[[#This Row],[Колона2]]+Таблица24[[#This Row],[Колона4]]+Таблица24[[#This Row],[Колона6]]+Таблица24[[#This Row],[Колона11]]+Таблица24[[#This Row],[Колона16]]</calculatedColumnFormula>
    </tableColumn>
    <tableColumn id="30" name="Колона18" totalsRowFunction="sum" dataDxfId="31" totalsRowDxfId="30"/>
    <tableColumn id="26" name="Колона19" totalsRowFunction="sum" dataDxfId="29" totalsRowDxfId="28">
      <calculatedColumnFormula>Таблица24[[#This Row],[Колона17]]+Таблица24[[#This Row],[Колона18]]</calculatedColumnFormula>
    </tableColumn>
    <tableColumn id="37" name="Колона20" totalsRowFunction="sum" dataDxfId="27" totalsRowDxfId="26"/>
    <tableColumn id="36" name="Колона21" totalsRowFunction="sum" dataDxfId="25" totalsRowDxfId="24">
      <calculatedColumnFormula>T5*$U$3</calculatedColumnFormula>
    </tableColumn>
    <tableColumn id="38" name="Колона22" totalsRowFunction="sum" dataDxfId="23" totalsRowDxfId="22">
      <calculatedColumnFormula>Таблица24[[#This Row],[Колона19]]+Таблица24[[#This Row],[Колона21]]</calculatedColumnFormula>
    </tableColumn>
    <tableColumn id="20" name="Колона23" totalsRowFunction="sum" dataDxfId="21" totalsRowDxfId="20"/>
    <tableColumn id="21" name="Колона24" totalsRowFunction="sum" dataDxfId="19" totalsRowDxfId="18">
      <calculatedColumnFormula>W5*$X$3</calculatedColumnFormula>
    </tableColumn>
    <tableColumn id="22" name="Колона25" totalsRowFunction="sum" dataDxfId="17" totalsRowDxfId="16"/>
    <tableColumn id="23" name="Колона26" totalsRowFunction="sum" dataDxfId="15" totalsRowDxfId="14">
      <calculatedColumnFormula>Y5*$Z$3</calculatedColumnFormula>
    </tableColumn>
    <tableColumn id="24" name="Колона27" totalsRowFunction="sum" dataDxfId="13" totalsRowDxfId="12">
      <calculatedColumnFormula>Таблица24[[#This Row],[Колона24]]+Таблица24[[#This Row],[Колона26]]</calculatedColumnFormula>
    </tableColumn>
    <tableColumn id="9" name="Колона28" totalsRowFunction="sum" dataDxfId="11" totalsRowDxfId="10">
      <calculatedColumnFormula>Таблица24[[#This Row],[Колона22]]+Таблица24[[#This Row],[Колона27]]</calculatedColumnFormula>
    </tableColumn>
    <tableColumn id="12" name="Колона232" totalsRowFunction="sum" dataDxfId="9" totalsRowDxfId="8"/>
    <tableColumn id="7" name="Колона242" totalsRowFunction="sum" dataDxfId="7" totalsRowDxfId="6">
      <calculatedColumnFormula>-Таблица24[[#This Row],[Колона232]]*30%</calculatedColumnFormula>
    </tableColumn>
    <tableColumn id="14" name="Колона253" totalsRowFunction="sum" dataDxfId="5" totalsRowDxfId="4">
      <calculatedColumnFormula>Таблица24[[#This Row],[Колона232]]+Таблица24[[#This Row],[Колона242]]</calculatedColumnFormula>
    </tableColumn>
    <tableColumn id="17" name="Колона264" dataDxfId="3" totalsRowDxfId="2">
      <calculatedColumnFormula>(AE7+AE8+AE9+AE10+AE13+AE6+AE5)/7</calculatedColumnFormula>
    </tableColumn>
    <tableColumn id="25" name="бюджет 20185" totalsRowFunction="sum" dataDxfId="1" totalsRowDxfId="0">
      <calculatedColumnFormula>Таблица24[[#This Row],[Колона28]]+Таблица24[[#This Row],[Колона242]]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opLeftCell="F1" workbookViewId="0">
      <selection activeCell="X8" sqref="X8"/>
    </sheetView>
  </sheetViews>
  <sheetFormatPr defaultColWidth="8.28515625" defaultRowHeight="11.25" x14ac:dyDescent="0.2"/>
  <cols>
    <col min="1" max="1" width="3" style="1" customWidth="1"/>
    <col min="2" max="2" width="11.85546875" style="1" customWidth="1"/>
    <col min="3" max="3" width="3.85546875" style="1" customWidth="1"/>
    <col min="4" max="4" width="7.28515625" style="1" customWidth="1"/>
    <col min="5" max="5" width="6.42578125" style="1" customWidth="1"/>
    <col min="6" max="6" width="8.42578125" style="1" customWidth="1"/>
    <col min="7" max="7" width="7" style="1" customWidth="1"/>
    <col min="8" max="8" width="3.85546875" style="1" customWidth="1"/>
    <col min="9" max="9" width="8.42578125" style="1" customWidth="1"/>
    <col min="10" max="10" width="6" style="1" customWidth="1"/>
    <col min="11" max="11" width="6.85546875" style="1" customWidth="1"/>
    <col min="12" max="12" width="8.5703125" style="1" customWidth="1"/>
    <col min="13" max="13" width="7.140625" style="1" customWidth="1"/>
    <col min="14" max="14" width="4.7109375" style="1" customWidth="1"/>
    <col min="15" max="15" width="6" style="1" customWidth="1"/>
    <col min="16" max="16" width="3.85546875" style="1" customWidth="1"/>
    <col min="17" max="17" width="5.7109375" style="1" customWidth="1"/>
    <col min="18" max="18" width="7.28515625" style="1" customWidth="1"/>
    <col min="19" max="19" width="4.5703125" style="1" customWidth="1"/>
    <col min="20" max="23" width="5" style="1" customWidth="1"/>
    <col min="24" max="24" width="7.5703125" style="1" customWidth="1"/>
    <col min="25" max="25" width="5.140625" style="1" customWidth="1"/>
    <col min="26" max="26" width="4.42578125" style="1" customWidth="1"/>
    <col min="27" max="27" width="2.28515625" style="1" customWidth="1"/>
    <col min="28" max="28" width="7.7109375" style="1" customWidth="1"/>
    <col min="29" max="16384" width="8.28515625" style="1"/>
  </cols>
  <sheetData>
    <row r="1" spans="1:25" ht="23.25" customHeight="1" x14ac:dyDescent="0.2">
      <c r="P1" s="164" t="s">
        <v>21</v>
      </c>
      <c r="Q1" s="164"/>
      <c r="R1" s="164"/>
      <c r="S1" s="164"/>
      <c r="T1" s="164"/>
      <c r="U1" s="61"/>
      <c r="V1" s="61"/>
    </row>
    <row r="2" spans="1:25" ht="15.75" x14ac:dyDescent="0.2">
      <c r="A2" s="165" t="s">
        <v>29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5" ht="15" customHeight="1" x14ac:dyDescent="0.2"/>
    <row r="4" spans="1:25" ht="0.75" customHeight="1" thickBot="1" x14ac:dyDescent="0.25">
      <c r="A4" s="5"/>
      <c r="B4" s="5"/>
      <c r="C4" s="166"/>
      <c r="D4" s="166"/>
      <c r="E4" s="2"/>
      <c r="F4" s="2"/>
      <c r="G4" s="2"/>
      <c r="H4" s="166"/>
      <c r="I4" s="167"/>
      <c r="J4" s="3"/>
      <c r="K4" s="3"/>
      <c r="L4" s="3"/>
      <c r="M4" s="3"/>
      <c r="N4" s="167"/>
      <c r="O4" s="167"/>
      <c r="P4" s="167"/>
      <c r="Q4" s="167"/>
      <c r="R4" s="3"/>
      <c r="S4" s="3"/>
      <c r="T4" s="5"/>
      <c r="U4" s="5"/>
      <c r="V4" s="5"/>
      <c r="W4" s="5"/>
      <c r="X4" s="5"/>
      <c r="Y4" s="3"/>
    </row>
    <row r="5" spans="1:25" ht="56.25" customHeight="1" x14ac:dyDescent="0.2">
      <c r="A5" s="175" t="s">
        <v>0</v>
      </c>
      <c r="B5" s="177" t="s">
        <v>1</v>
      </c>
      <c r="C5" s="169" t="s">
        <v>23</v>
      </c>
      <c r="D5" s="169"/>
      <c r="E5" s="32"/>
      <c r="F5" s="10"/>
      <c r="G5" s="179" t="s">
        <v>24</v>
      </c>
      <c r="H5" s="168" t="s">
        <v>25</v>
      </c>
      <c r="I5" s="169"/>
      <c r="J5" s="32" t="s">
        <v>2</v>
      </c>
      <c r="K5" s="32"/>
      <c r="L5" s="11"/>
      <c r="M5" s="170" t="s">
        <v>26</v>
      </c>
      <c r="N5" s="168" t="s">
        <v>3</v>
      </c>
      <c r="O5" s="169"/>
      <c r="P5" s="169" t="s">
        <v>27</v>
      </c>
      <c r="Q5" s="172"/>
      <c r="R5" s="186" t="s">
        <v>4</v>
      </c>
      <c r="S5" s="188" t="s">
        <v>16</v>
      </c>
      <c r="T5" s="188"/>
      <c r="U5" s="181" t="s">
        <v>28</v>
      </c>
      <c r="V5" s="181"/>
      <c r="W5" s="184" t="s">
        <v>20</v>
      </c>
      <c r="X5" s="173" t="s">
        <v>5</v>
      </c>
      <c r="Y5" s="167"/>
    </row>
    <row r="6" spans="1:25" ht="75.75" customHeight="1" thickBot="1" x14ac:dyDescent="0.25">
      <c r="A6" s="176"/>
      <c r="B6" s="178"/>
      <c r="C6" s="12" t="s">
        <v>6</v>
      </c>
      <c r="D6" s="13">
        <v>2126</v>
      </c>
      <c r="E6" s="13"/>
      <c r="F6" s="14">
        <f>D17-E6</f>
        <v>1447806</v>
      </c>
      <c r="G6" s="180"/>
      <c r="H6" s="15" t="s">
        <v>6</v>
      </c>
      <c r="I6" s="13">
        <v>2391</v>
      </c>
      <c r="J6" s="13" t="s">
        <v>22</v>
      </c>
      <c r="K6" s="13"/>
      <c r="L6" s="14">
        <f>I17-J17-K8</f>
        <v>1237299</v>
      </c>
      <c r="M6" s="171"/>
      <c r="N6" s="15" t="s">
        <v>6</v>
      </c>
      <c r="O6" s="4">
        <v>1265</v>
      </c>
      <c r="P6" s="12" t="s">
        <v>6</v>
      </c>
      <c r="Q6" s="16">
        <v>72</v>
      </c>
      <c r="R6" s="187"/>
      <c r="S6" s="15" t="s">
        <v>6</v>
      </c>
      <c r="T6" s="17">
        <v>359</v>
      </c>
      <c r="U6" s="12" t="s">
        <v>6</v>
      </c>
      <c r="V6" s="13">
        <v>2476</v>
      </c>
      <c r="W6" s="185"/>
      <c r="X6" s="174"/>
      <c r="Y6" s="167"/>
    </row>
    <row r="7" spans="1:25" ht="15" customHeight="1" x14ac:dyDescent="0.2">
      <c r="A7" s="18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20">
        <v>7</v>
      </c>
      <c r="H7" s="19">
        <v>8</v>
      </c>
      <c r="I7" s="19">
        <v>9</v>
      </c>
      <c r="J7" s="18">
        <v>10</v>
      </c>
      <c r="K7" s="21">
        <v>11</v>
      </c>
      <c r="L7" s="19">
        <v>12</v>
      </c>
      <c r="M7" s="20">
        <v>13</v>
      </c>
      <c r="N7" s="19">
        <v>14</v>
      </c>
      <c r="O7" s="18">
        <v>15</v>
      </c>
      <c r="P7" s="19">
        <v>16</v>
      </c>
      <c r="Q7" s="18">
        <v>17</v>
      </c>
      <c r="R7" s="31">
        <v>18</v>
      </c>
      <c r="S7" s="19">
        <v>19</v>
      </c>
      <c r="T7" s="19">
        <v>20</v>
      </c>
      <c r="U7" s="20"/>
      <c r="V7" s="20"/>
      <c r="W7" s="31">
        <v>21</v>
      </c>
      <c r="X7" s="58">
        <v>22</v>
      </c>
      <c r="Y7" s="5"/>
    </row>
    <row r="8" spans="1:25" ht="24.95" customHeight="1" x14ac:dyDescent="0.2">
      <c r="A8" s="22">
        <v>1</v>
      </c>
      <c r="B8" s="23" t="s">
        <v>7</v>
      </c>
      <c r="C8" s="24">
        <v>99</v>
      </c>
      <c r="D8" s="25">
        <f>C8*$D$6</f>
        <v>210474</v>
      </c>
      <c r="E8" s="26"/>
      <c r="F8" s="27">
        <f t="shared" ref="F8:F17" si="0">$F$6*C8/$C$17</f>
        <v>210474</v>
      </c>
      <c r="G8" s="28">
        <f t="shared" ref="G8:G16" si="1">$F$6*C8/$C$17+E8</f>
        <v>210474</v>
      </c>
      <c r="H8" s="24">
        <v>52</v>
      </c>
      <c r="I8" s="7">
        <f>H8*$I$6</f>
        <v>124332</v>
      </c>
      <c r="J8" s="7">
        <v>19000</v>
      </c>
      <c r="K8" s="29"/>
      <c r="L8" s="7">
        <f>H8*$L$6/$H$17</f>
        <v>109235.22580645161</v>
      </c>
      <c r="M8" s="28">
        <f>J8+L8+K8</f>
        <v>128235.22580645161</v>
      </c>
      <c r="N8" s="7">
        <v>27</v>
      </c>
      <c r="O8" s="27">
        <f>N8*$O$6</f>
        <v>34155</v>
      </c>
      <c r="P8" s="7">
        <f>H8</f>
        <v>52</v>
      </c>
      <c r="Q8" s="27">
        <f>P8*$Q$6</f>
        <v>3744</v>
      </c>
      <c r="R8" s="28">
        <f>G8+M8+O8+Q8</f>
        <v>376608.22580645164</v>
      </c>
      <c r="S8" s="27">
        <v>5</v>
      </c>
      <c r="T8" s="7">
        <f>S8*$T$6</f>
        <v>1795</v>
      </c>
      <c r="U8" s="7">
        <v>5</v>
      </c>
      <c r="V8" s="7">
        <f>U8*V6</f>
        <v>12380</v>
      </c>
      <c r="W8" s="28">
        <f>T8+V8</f>
        <v>14175</v>
      </c>
      <c r="X8" s="62">
        <f t="shared" ref="X8:X17" si="2">SUM(R8,W8)</f>
        <v>390783.22580645164</v>
      </c>
      <c r="Y8" s="6"/>
    </row>
    <row r="9" spans="1:25" ht="24.95" customHeight="1" x14ac:dyDescent="0.2">
      <c r="A9" s="22">
        <v>2</v>
      </c>
      <c r="B9" s="23" t="s">
        <v>8</v>
      </c>
      <c r="C9" s="24">
        <v>128</v>
      </c>
      <c r="D9" s="27">
        <f t="shared" ref="D9:D16" si="3">C9*$D$6</f>
        <v>272128</v>
      </c>
      <c r="E9" s="27"/>
      <c r="F9" s="27">
        <f t="shared" si="0"/>
        <v>272128</v>
      </c>
      <c r="G9" s="28">
        <f t="shared" si="1"/>
        <v>272128</v>
      </c>
      <c r="H9" s="24">
        <v>116</v>
      </c>
      <c r="I9" s="7">
        <f t="shared" ref="I9:I16" si="4">H9*$I$6</f>
        <v>277356</v>
      </c>
      <c r="J9" s="7">
        <v>19000</v>
      </c>
      <c r="K9" s="7"/>
      <c r="L9" s="7">
        <f t="shared" ref="L9:L16" si="5">H9*$L$6/$H$17</f>
        <v>243678.5806451613</v>
      </c>
      <c r="M9" s="28">
        <f t="shared" ref="M9:M16" si="6">J9+L9</f>
        <v>262678.58064516133</v>
      </c>
      <c r="N9" s="7">
        <v>0</v>
      </c>
      <c r="O9" s="27">
        <f t="shared" ref="O9:O16" si="7">N9*$O$6</f>
        <v>0</v>
      </c>
      <c r="P9" s="7">
        <f t="shared" ref="P9:P16" si="8">H9</f>
        <v>116</v>
      </c>
      <c r="Q9" s="27">
        <f t="shared" ref="Q9:Q16" si="9">P9*$Q$6</f>
        <v>8352</v>
      </c>
      <c r="R9" s="28">
        <f>G9+M9+O9+Q9</f>
        <v>543158.58064516133</v>
      </c>
      <c r="S9" s="27">
        <v>7</v>
      </c>
      <c r="T9" s="7">
        <f>S9*$T$6</f>
        <v>2513</v>
      </c>
      <c r="U9" s="7">
        <v>0</v>
      </c>
      <c r="V9" s="7">
        <f t="shared" ref="V9:V15" si="10">U9*V7</f>
        <v>0</v>
      </c>
      <c r="W9" s="28">
        <f t="shared" ref="W9:W16" si="11">T9+V9</f>
        <v>2513</v>
      </c>
      <c r="X9" s="62">
        <f t="shared" si="2"/>
        <v>545671.58064516133</v>
      </c>
      <c r="Y9" s="6"/>
    </row>
    <row r="10" spans="1:25" ht="24.95" customHeight="1" x14ac:dyDescent="0.2">
      <c r="A10" s="22">
        <v>3</v>
      </c>
      <c r="B10" s="23" t="s">
        <v>9</v>
      </c>
      <c r="C10" s="24">
        <v>59</v>
      </c>
      <c r="D10" s="27">
        <f t="shared" si="3"/>
        <v>125434</v>
      </c>
      <c r="E10" s="27"/>
      <c r="F10" s="27">
        <f t="shared" si="0"/>
        <v>125434</v>
      </c>
      <c r="G10" s="28">
        <f t="shared" si="1"/>
        <v>125434</v>
      </c>
      <c r="H10" s="24">
        <v>64</v>
      </c>
      <c r="I10" s="7">
        <f t="shared" si="4"/>
        <v>153024</v>
      </c>
      <c r="J10" s="7">
        <v>19000</v>
      </c>
      <c r="K10" s="7"/>
      <c r="L10" s="7">
        <f t="shared" si="5"/>
        <v>134443.35483870967</v>
      </c>
      <c r="M10" s="28">
        <f t="shared" si="6"/>
        <v>153443.35483870967</v>
      </c>
      <c r="N10" s="7">
        <v>0</v>
      </c>
      <c r="O10" s="27">
        <f t="shared" si="7"/>
        <v>0</v>
      </c>
      <c r="P10" s="7">
        <f t="shared" si="8"/>
        <v>64</v>
      </c>
      <c r="Q10" s="27">
        <f t="shared" si="9"/>
        <v>4608</v>
      </c>
      <c r="R10" s="28">
        <f t="shared" ref="R10:R16" si="12">G10+M10+O10+Q10</f>
        <v>283485.3548387097</v>
      </c>
      <c r="S10" s="27">
        <v>4</v>
      </c>
      <c r="T10" s="7">
        <f t="shared" ref="T10:T16" si="13">S10*$T$6</f>
        <v>1436</v>
      </c>
      <c r="U10" s="7">
        <v>0</v>
      </c>
      <c r="V10" s="7">
        <f t="shared" si="10"/>
        <v>0</v>
      </c>
      <c r="W10" s="28">
        <f t="shared" si="11"/>
        <v>1436</v>
      </c>
      <c r="X10" s="62">
        <f t="shared" si="2"/>
        <v>284921.3548387097</v>
      </c>
      <c r="Y10" s="6"/>
    </row>
    <row r="11" spans="1:25" ht="24.95" customHeight="1" x14ac:dyDescent="0.2">
      <c r="A11" s="22">
        <v>4</v>
      </c>
      <c r="B11" s="23" t="s">
        <v>10</v>
      </c>
      <c r="C11" s="24">
        <v>66</v>
      </c>
      <c r="D11" s="27">
        <f t="shared" si="3"/>
        <v>140316</v>
      </c>
      <c r="E11" s="27"/>
      <c r="F11" s="27">
        <f t="shared" si="0"/>
        <v>140316</v>
      </c>
      <c r="G11" s="28">
        <f t="shared" si="1"/>
        <v>140316</v>
      </c>
      <c r="H11" s="24">
        <v>76</v>
      </c>
      <c r="I11" s="7">
        <f>H11*$I$6</f>
        <v>181716</v>
      </c>
      <c r="J11" s="7">
        <v>19000</v>
      </c>
      <c r="K11" s="7"/>
      <c r="L11" s="7">
        <f t="shared" si="5"/>
        <v>159651.48387096773</v>
      </c>
      <c r="M11" s="28">
        <f t="shared" si="6"/>
        <v>178651.48387096773</v>
      </c>
      <c r="N11" s="7">
        <v>0</v>
      </c>
      <c r="O11" s="27">
        <f t="shared" si="7"/>
        <v>0</v>
      </c>
      <c r="P11" s="7">
        <f t="shared" si="8"/>
        <v>76</v>
      </c>
      <c r="Q11" s="27">
        <f t="shared" si="9"/>
        <v>5472</v>
      </c>
      <c r="R11" s="28">
        <f t="shared" si="12"/>
        <v>324439.48387096776</v>
      </c>
      <c r="S11" s="27">
        <v>4</v>
      </c>
      <c r="T11" s="7">
        <f t="shared" si="13"/>
        <v>1436</v>
      </c>
      <c r="U11" s="7">
        <v>0</v>
      </c>
      <c r="V11" s="7">
        <f t="shared" si="10"/>
        <v>0</v>
      </c>
      <c r="W11" s="28">
        <f t="shared" si="11"/>
        <v>1436</v>
      </c>
      <c r="X11" s="62">
        <f t="shared" si="2"/>
        <v>325875.48387096776</v>
      </c>
      <c r="Y11" s="6"/>
    </row>
    <row r="12" spans="1:25" ht="24.95" customHeight="1" x14ac:dyDescent="0.2">
      <c r="A12" s="22">
        <v>5</v>
      </c>
      <c r="B12" s="23" t="s">
        <v>11</v>
      </c>
      <c r="C12" s="24">
        <v>66</v>
      </c>
      <c r="D12" s="27">
        <f t="shared" si="3"/>
        <v>140316</v>
      </c>
      <c r="E12" s="27"/>
      <c r="F12" s="27">
        <f t="shared" si="0"/>
        <v>140316</v>
      </c>
      <c r="G12" s="28">
        <f t="shared" si="1"/>
        <v>140316</v>
      </c>
      <c r="H12" s="24">
        <v>57</v>
      </c>
      <c r="I12" s="7">
        <f t="shared" si="4"/>
        <v>136287</v>
      </c>
      <c r="J12" s="7">
        <v>19000</v>
      </c>
      <c r="K12" s="7"/>
      <c r="L12" s="7">
        <f t="shared" si="5"/>
        <v>119738.6129032258</v>
      </c>
      <c r="M12" s="28">
        <f t="shared" si="6"/>
        <v>138738.61290322582</v>
      </c>
      <c r="N12" s="7">
        <v>0</v>
      </c>
      <c r="O12" s="27">
        <f t="shared" si="7"/>
        <v>0</v>
      </c>
      <c r="P12" s="7">
        <f t="shared" si="8"/>
        <v>57</v>
      </c>
      <c r="Q12" s="27">
        <f t="shared" si="9"/>
        <v>4104</v>
      </c>
      <c r="R12" s="28">
        <f t="shared" si="12"/>
        <v>283158.61290322582</v>
      </c>
      <c r="S12" s="27">
        <v>6</v>
      </c>
      <c r="T12" s="7">
        <f t="shared" si="13"/>
        <v>2154</v>
      </c>
      <c r="U12" s="7">
        <v>0</v>
      </c>
      <c r="V12" s="7">
        <f t="shared" si="10"/>
        <v>0</v>
      </c>
      <c r="W12" s="28">
        <f t="shared" si="11"/>
        <v>2154</v>
      </c>
      <c r="X12" s="62">
        <f t="shared" si="2"/>
        <v>285312.61290322582</v>
      </c>
      <c r="Y12" s="6"/>
    </row>
    <row r="13" spans="1:25" ht="22.5" x14ac:dyDescent="0.2">
      <c r="A13" s="22">
        <v>6</v>
      </c>
      <c r="B13" s="23" t="s">
        <v>12</v>
      </c>
      <c r="C13" s="24">
        <v>121</v>
      </c>
      <c r="D13" s="27">
        <f t="shared" si="3"/>
        <v>257246</v>
      </c>
      <c r="E13" s="27"/>
      <c r="F13" s="27">
        <f t="shared" si="0"/>
        <v>257246</v>
      </c>
      <c r="G13" s="28">
        <f t="shared" si="1"/>
        <v>257246</v>
      </c>
      <c r="H13" s="24">
        <v>99</v>
      </c>
      <c r="I13" s="7">
        <f t="shared" si="4"/>
        <v>236709</v>
      </c>
      <c r="J13" s="7">
        <v>19000</v>
      </c>
      <c r="K13" s="7"/>
      <c r="L13" s="7">
        <f t="shared" si="5"/>
        <v>207967.06451612903</v>
      </c>
      <c r="M13" s="28">
        <f t="shared" si="6"/>
        <v>226967.06451612903</v>
      </c>
      <c r="N13" s="7">
        <v>0</v>
      </c>
      <c r="O13" s="27">
        <f t="shared" si="7"/>
        <v>0</v>
      </c>
      <c r="P13" s="7">
        <f t="shared" si="8"/>
        <v>99</v>
      </c>
      <c r="Q13" s="27">
        <f t="shared" si="9"/>
        <v>7128</v>
      </c>
      <c r="R13" s="28">
        <f t="shared" si="12"/>
        <v>491341.06451612903</v>
      </c>
      <c r="S13" s="27">
        <v>10</v>
      </c>
      <c r="T13" s="7">
        <f t="shared" si="13"/>
        <v>3590</v>
      </c>
      <c r="U13" s="7">
        <v>10</v>
      </c>
      <c r="V13" s="7">
        <f>U13*V6</f>
        <v>24760</v>
      </c>
      <c r="W13" s="28">
        <f t="shared" si="11"/>
        <v>28350</v>
      </c>
      <c r="X13" s="62">
        <f t="shared" si="2"/>
        <v>519691.06451612903</v>
      </c>
      <c r="Y13" s="6"/>
    </row>
    <row r="14" spans="1:25" ht="27.75" customHeight="1" x14ac:dyDescent="0.2">
      <c r="A14" s="22">
        <v>7</v>
      </c>
      <c r="B14" s="23" t="s">
        <v>17</v>
      </c>
      <c r="C14" s="24">
        <v>21</v>
      </c>
      <c r="D14" s="27">
        <f t="shared" si="3"/>
        <v>44646</v>
      </c>
      <c r="E14" s="27"/>
      <c r="F14" s="27">
        <f t="shared" si="0"/>
        <v>44646</v>
      </c>
      <c r="G14" s="28">
        <f t="shared" si="1"/>
        <v>44646</v>
      </c>
      <c r="H14" s="24">
        <v>20</v>
      </c>
      <c r="I14" s="7">
        <f t="shared" si="4"/>
        <v>47820</v>
      </c>
      <c r="J14" s="7">
        <v>19000</v>
      </c>
      <c r="K14" s="7"/>
      <c r="L14" s="7">
        <f t="shared" si="5"/>
        <v>42013.548387096773</v>
      </c>
      <c r="M14" s="28">
        <f t="shared" si="6"/>
        <v>61013.548387096773</v>
      </c>
      <c r="N14" s="7">
        <v>0</v>
      </c>
      <c r="O14" s="27">
        <f t="shared" si="7"/>
        <v>0</v>
      </c>
      <c r="P14" s="7">
        <f t="shared" si="8"/>
        <v>20</v>
      </c>
      <c r="Q14" s="27">
        <f t="shared" si="9"/>
        <v>1440</v>
      </c>
      <c r="R14" s="28">
        <f t="shared" si="12"/>
        <v>107099.54838709677</v>
      </c>
      <c r="S14" s="27">
        <v>0</v>
      </c>
      <c r="T14" s="7">
        <f t="shared" si="13"/>
        <v>0</v>
      </c>
      <c r="U14" s="7">
        <v>0</v>
      </c>
      <c r="V14" s="7">
        <f>U14*V12</f>
        <v>0</v>
      </c>
      <c r="W14" s="28">
        <f t="shared" si="11"/>
        <v>0</v>
      </c>
      <c r="X14" s="62">
        <f t="shared" si="2"/>
        <v>107099.54838709677</v>
      </c>
      <c r="Y14" s="6"/>
    </row>
    <row r="15" spans="1:25" ht="23.25" customHeight="1" x14ac:dyDescent="0.2">
      <c r="A15" s="22">
        <v>8</v>
      </c>
      <c r="B15" s="23" t="s">
        <v>18</v>
      </c>
      <c r="C15" s="24">
        <v>56</v>
      </c>
      <c r="D15" s="27">
        <f t="shared" si="3"/>
        <v>119056</v>
      </c>
      <c r="E15" s="27"/>
      <c r="F15" s="27">
        <f t="shared" si="0"/>
        <v>119056</v>
      </c>
      <c r="G15" s="28">
        <f t="shared" si="1"/>
        <v>119056</v>
      </c>
      <c r="H15" s="24">
        <v>65</v>
      </c>
      <c r="I15" s="7">
        <f t="shared" si="4"/>
        <v>155415</v>
      </c>
      <c r="J15" s="7">
        <v>19000</v>
      </c>
      <c r="K15" s="7"/>
      <c r="L15" s="7">
        <f t="shared" si="5"/>
        <v>136544.03225806452</v>
      </c>
      <c r="M15" s="28">
        <f t="shared" si="6"/>
        <v>155544.03225806452</v>
      </c>
      <c r="N15" s="7">
        <v>13</v>
      </c>
      <c r="O15" s="27">
        <f t="shared" si="7"/>
        <v>16445</v>
      </c>
      <c r="P15" s="7">
        <f t="shared" si="8"/>
        <v>65</v>
      </c>
      <c r="Q15" s="27">
        <f t="shared" si="9"/>
        <v>4680</v>
      </c>
      <c r="R15" s="28">
        <f t="shared" si="12"/>
        <v>295725.03225806449</v>
      </c>
      <c r="S15" s="27">
        <v>3</v>
      </c>
      <c r="T15" s="7">
        <f t="shared" si="13"/>
        <v>1077</v>
      </c>
      <c r="U15" s="7">
        <v>0</v>
      </c>
      <c r="V15" s="7">
        <f t="shared" si="10"/>
        <v>0</v>
      </c>
      <c r="W15" s="28">
        <f t="shared" si="11"/>
        <v>1077</v>
      </c>
      <c r="X15" s="62">
        <f t="shared" si="2"/>
        <v>296802.03225806449</v>
      </c>
      <c r="Y15" s="6"/>
    </row>
    <row r="16" spans="1:25" ht="24.95" customHeight="1" thickBot="1" x14ac:dyDescent="0.25">
      <c r="A16" s="35">
        <v>9</v>
      </c>
      <c r="B16" s="36" t="s">
        <v>19</v>
      </c>
      <c r="C16" s="37">
        <v>65</v>
      </c>
      <c r="D16" s="38">
        <f t="shared" si="3"/>
        <v>138190</v>
      </c>
      <c r="E16" s="38"/>
      <c r="F16" s="38">
        <f t="shared" si="0"/>
        <v>138190</v>
      </c>
      <c r="G16" s="39">
        <f t="shared" si="1"/>
        <v>138190</v>
      </c>
      <c r="H16" s="37">
        <v>40</v>
      </c>
      <c r="I16" s="40">
        <f t="shared" si="4"/>
        <v>95640</v>
      </c>
      <c r="J16" s="40">
        <v>19000</v>
      </c>
      <c r="K16" s="40"/>
      <c r="L16" s="40">
        <f t="shared" si="5"/>
        <v>84027.096774193546</v>
      </c>
      <c r="M16" s="39">
        <f t="shared" si="6"/>
        <v>103027.09677419355</v>
      </c>
      <c r="N16" s="40">
        <v>0</v>
      </c>
      <c r="O16" s="38">
        <f t="shared" si="7"/>
        <v>0</v>
      </c>
      <c r="P16" s="40">
        <f t="shared" si="8"/>
        <v>40</v>
      </c>
      <c r="Q16" s="38">
        <f t="shared" si="9"/>
        <v>2880</v>
      </c>
      <c r="R16" s="28">
        <f t="shared" si="12"/>
        <v>244097.09677419355</v>
      </c>
      <c r="S16" s="38">
        <v>0</v>
      </c>
      <c r="T16" s="40">
        <f t="shared" si="13"/>
        <v>0</v>
      </c>
      <c r="U16" s="40">
        <v>0</v>
      </c>
      <c r="V16" s="7">
        <f>U16*V14</f>
        <v>0</v>
      </c>
      <c r="W16" s="28">
        <f t="shared" si="11"/>
        <v>0</v>
      </c>
      <c r="X16" s="62">
        <f t="shared" si="2"/>
        <v>244097.09677419355</v>
      </c>
      <c r="Y16" s="6"/>
    </row>
    <row r="17" spans="1:28" ht="23.25" customHeight="1" thickBot="1" x14ac:dyDescent="0.25">
      <c r="A17" s="41"/>
      <c r="B17" s="42" t="s">
        <v>13</v>
      </c>
      <c r="C17" s="43">
        <f t="shared" ref="C17:I17" si="14">SUM(C8:C16)</f>
        <v>681</v>
      </c>
      <c r="D17" s="44">
        <f t="shared" si="14"/>
        <v>1447806</v>
      </c>
      <c r="E17" s="44"/>
      <c r="F17" s="45">
        <f t="shared" si="0"/>
        <v>1447806</v>
      </c>
      <c r="G17" s="46">
        <f>SUM(G8:G16)</f>
        <v>1447806</v>
      </c>
      <c r="H17" s="43">
        <f t="shared" si="14"/>
        <v>589</v>
      </c>
      <c r="I17" s="43">
        <f t="shared" si="14"/>
        <v>1408299</v>
      </c>
      <c r="J17" s="47">
        <f>SUM(J8:J16)</f>
        <v>171000</v>
      </c>
      <c r="K17" s="47"/>
      <c r="L17" s="47">
        <f t="shared" ref="L17:Q17" si="15">SUM(L8:L16)</f>
        <v>1237298.9999999998</v>
      </c>
      <c r="M17" s="46">
        <f t="shared" si="15"/>
        <v>1408299</v>
      </c>
      <c r="N17" s="47">
        <f>SUM(N8:N16)</f>
        <v>40</v>
      </c>
      <c r="O17" s="45">
        <f t="shared" si="15"/>
        <v>50600</v>
      </c>
      <c r="P17" s="47">
        <f t="shared" si="15"/>
        <v>589</v>
      </c>
      <c r="Q17" s="45">
        <f t="shared" si="15"/>
        <v>42408</v>
      </c>
      <c r="R17" s="28">
        <f>G17+M17+O17+Q17</f>
        <v>2949113</v>
      </c>
      <c r="S17" s="45">
        <f>SUM(S8:S16)</f>
        <v>39</v>
      </c>
      <c r="T17" s="47">
        <f>S17*$T$6</f>
        <v>14001</v>
      </c>
      <c r="U17" s="47">
        <f>SUM(U8:U16)</f>
        <v>15</v>
      </c>
      <c r="V17" s="47">
        <f>SUM(V8:V16)</f>
        <v>37140</v>
      </c>
      <c r="W17" s="46">
        <f>T17+V17</f>
        <v>51141</v>
      </c>
      <c r="X17" s="62">
        <f t="shared" si="2"/>
        <v>3000254</v>
      </c>
      <c r="Y17" s="8"/>
    </row>
    <row r="18" spans="1:28" ht="19.5" hidden="1" customHeight="1" thickBot="1" x14ac:dyDescent="0.25">
      <c r="A18" s="41"/>
      <c r="B18" s="42" t="s">
        <v>14</v>
      </c>
      <c r="C18" s="43">
        <f>C19-C17</f>
        <v>-38</v>
      </c>
      <c r="D18" s="44">
        <f>D19-D17</f>
        <v>-80788</v>
      </c>
      <c r="E18" s="44"/>
      <c r="F18" s="44"/>
      <c r="G18" s="57"/>
      <c r="H18" s="43">
        <f>H19-H17</f>
        <v>96</v>
      </c>
      <c r="I18" s="43">
        <f>I19-I17</f>
        <v>229536</v>
      </c>
      <c r="J18" s="43"/>
      <c r="K18" s="43"/>
      <c r="L18" s="43"/>
      <c r="M18" s="43"/>
      <c r="N18" s="43">
        <f>N19-N17</f>
        <v>-3</v>
      </c>
      <c r="O18" s="43">
        <f>O19-O17</f>
        <v>-3795</v>
      </c>
      <c r="P18" s="43">
        <f>P19-P17</f>
        <v>96</v>
      </c>
      <c r="Q18" s="43">
        <f>Q19-Q17</f>
        <v>6912</v>
      </c>
      <c r="R18" s="46">
        <f>D18+M18+O18+Q18+I18</f>
        <v>151865</v>
      </c>
      <c r="S18" s="43">
        <f>S19-S17</f>
        <v>7</v>
      </c>
      <c r="T18" s="47">
        <f>T19-T17</f>
        <v>2513</v>
      </c>
      <c r="U18" s="47"/>
      <c r="V18" s="47"/>
      <c r="W18" s="48">
        <f t="shared" ref="W18:W19" si="16">T18</f>
        <v>2513</v>
      </c>
      <c r="X18" s="59">
        <f t="shared" ref="X18" si="17">SUM(R18,T18)</f>
        <v>154378</v>
      </c>
      <c r="Y18" s="8"/>
      <c r="Z18" s="8"/>
      <c r="AA18" s="8"/>
    </row>
    <row r="19" spans="1:28" ht="21" hidden="1" customHeight="1" thickBot="1" x14ac:dyDescent="0.25">
      <c r="A19" s="49"/>
      <c r="B19" s="50" t="s">
        <v>15</v>
      </c>
      <c r="C19" s="50">
        <v>643</v>
      </c>
      <c r="D19" s="50">
        <f>C19*D6</f>
        <v>1367018</v>
      </c>
      <c r="E19" s="50"/>
      <c r="F19" s="50"/>
      <c r="G19" s="51"/>
      <c r="H19" s="50">
        <v>685</v>
      </c>
      <c r="I19" s="50">
        <f>H19*I6</f>
        <v>1637835</v>
      </c>
      <c r="J19" s="52"/>
      <c r="K19" s="52"/>
      <c r="L19" s="50"/>
      <c r="M19" s="50"/>
      <c r="N19" s="50">
        <v>37</v>
      </c>
      <c r="O19" s="50">
        <f>N19*O6</f>
        <v>46805</v>
      </c>
      <c r="P19" s="50">
        <v>685</v>
      </c>
      <c r="Q19" s="50">
        <f>P19*Q6</f>
        <v>49320</v>
      </c>
      <c r="R19" s="53">
        <f>D19+M19+O19+Q19+I19</f>
        <v>3100978</v>
      </c>
      <c r="S19" s="54">
        <v>46</v>
      </c>
      <c r="T19" s="55">
        <f>S19*$T$6</f>
        <v>16514</v>
      </c>
      <c r="U19" s="55"/>
      <c r="V19" s="55"/>
      <c r="W19" s="56">
        <f t="shared" si="16"/>
        <v>16514</v>
      </c>
      <c r="X19" s="60">
        <f>SUM(R19,T19)</f>
        <v>3117492</v>
      </c>
      <c r="Y19" s="5"/>
    </row>
    <row r="20" spans="1:28" ht="23.25" customHeight="1" x14ac:dyDescent="0.2">
      <c r="J20" s="9"/>
      <c r="K20" s="9"/>
    </row>
    <row r="21" spans="1:28" ht="12.75" x14ac:dyDescent="0.2">
      <c r="C21" s="33"/>
      <c r="D21" s="33"/>
      <c r="E21" s="34"/>
      <c r="F21" s="34"/>
      <c r="N21" s="182"/>
      <c r="O21" s="182"/>
      <c r="P21" s="182"/>
      <c r="Q21" s="182"/>
      <c r="R21" s="182"/>
    </row>
    <row r="22" spans="1:28" ht="16.5" customHeight="1" x14ac:dyDescent="0.2">
      <c r="D22" s="5"/>
      <c r="E22" s="5"/>
      <c r="F22" s="5"/>
      <c r="G22" s="5"/>
      <c r="X22" s="30"/>
      <c r="Y22" s="30"/>
      <c r="Z22" s="30"/>
      <c r="AA22" s="30"/>
      <c r="AB22" s="30"/>
    </row>
    <row r="23" spans="1:28" x14ac:dyDescent="0.2">
      <c r="P23" s="183"/>
      <c r="Q23" s="183"/>
      <c r="R23" s="183"/>
      <c r="S23" s="183"/>
      <c r="T23" s="183"/>
    </row>
  </sheetData>
  <mergeCells count="22">
    <mergeCell ref="N21:R21"/>
    <mergeCell ref="P23:T23"/>
    <mergeCell ref="W5:W6"/>
    <mergeCell ref="R5:R6"/>
    <mergeCell ref="S5:T5"/>
    <mergeCell ref="A5:A6"/>
    <mergeCell ref="B5:B6"/>
    <mergeCell ref="C5:D5"/>
    <mergeCell ref="G5:G6"/>
    <mergeCell ref="U5:V5"/>
    <mergeCell ref="Y5:Y6"/>
    <mergeCell ref="H5:I5"/>
    <mergeCell ref="M5:M6"/>
    <mergeCell ref="N5:O5"/>
    <mergeCell ref="P5:Q5"/>
    <mergeCell ref="X5:X6"/>
    <mergeCell ref="P1:T1"/>
    <mergeCell ref="A2:X2"/>
    <mergeCell ref="C4:D4"/>
    <mergeCell ref="H4:I4"/>
    <mergeCell ref="N4:O4"/>
    <mergeCell ref="P4:Q4"/>
  </mergeCells>
  <phoneticPr fontId="0" type="noConversion"/>
  <pageMargins left="0.75" right="0.75" top="0.19" bottom="0.1400000000000000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W15" sqref="W15"/>
    </sheetView>
  </sheetViews>
  <sheetFormatPr defaultRowHeight="12.75" x14ac:dyDescent="0.2"/>
  <cols>
    <col min="1" max="1" width="29.140625" customWidth="1"/>
    <col min="2" max="2" width="8.7109375" customWidth="1"/>
    <col min="3" max="3" width="6.7109375" customWidth="1"/>
    <col min="4" max="4" width="9.140625" customWidth="1"/>
    <col min="5" max="5" width="7.140625" customWidth="1"/>
    <col min="6" max="6" width="7" customWidth="1"/>
    <col min="7" max="7" width="6.85546875" customWidth="1"/>
    <col min="8" max="8" width="10" customWidth="1"/>
    <col min="9" max="9" width="8.140625" customWidth="1"/>
    <col min="10" max="11" width="10.42578125" customWidth="1"/>
    <col min="12" max="12" width="7.7109375" customWidth="1"/>
    <col min="13" max="13" width="7.140625" customWidth="1"/>
    <col min="14" max="14" width="11.7109375" customWidth="1"/>
    <col min="15" max="15" width="7.5703125" customWidth="1"/>
    <col min="16" max="16" width="8" customWidth="1"/>
    <col min="17" max="17" width="8.28515625" customWidth="1"/>
    <col min="18" max="18" width="7.5703125" customWidth="1"/>
    <col min="19" max="19" width="9.5703125" customWidth="1"/>
  </cols>
  <sheetData>
    <row r="1" spans="1:21" ht="21.75" customHeight="1" thickBot="1" x14ac:dyDescent="0.25"/>
    <row r="2" spans="1:21" ht="51" customHeight="1" thickBot="1" x14ac:dyDescent="0.3">
      <c r="A2" s="197" t="s">
        <v>62</v>
      </c>
      <c r="B2" s="193" t="s">
        <v>42</v>
      </c>
      <c r="C2" s="201" t="s">
        <v>59</v>
      </c>
      <c r="D2" s="201"/>
      <c r="E2" s="199" t="s">
        <v>58</v>
      </c>
      <c r="F2" s="200"/>
      <c r="G2" s="202" t="s">
        <v>65</v>
      </c>
      <c r="H2" s="203"/>
      <c r="I2" s="195" t="s">
        <v>61</v>
      </c>
      <c r="J2" s="196"/>
      <c r="K2" s="101">
        <v>3.4000000000000002E-2</v>
      </c>
      <c r="L2" s="191" t="s">
        <v>38</v>
      </c>
      <c r="M2" s="192"/>
      <c r="N2" s="103">
        <v>311</v>
      </c>
      <c r="O2" s="204" t="s">
        <v>43</v>
      </c>
      <c r="P2" s="204"/>
      <c r="Q2" s="189" t="s">
        <v>28</v>
      </c>
      <c r="R2" s="190"/>
      <c r="S2" s="93" t="s">
        <v>60</v>
      </c>
      <c r="T2" s="102" t="s">
        <v>72</v>
      </c>
      <c r="U2" s="102" t="s">
        <v>57</v>
      </c>
    </row>
    <row r="3" spans="1:21" ht="12.75" customHeight="1" x14ac:dyDescent="0.2">
      <c r="A3" s="198"/>
      <c r="B3" s="194"/>
      <c r="C3" s="89" t="s">
        <v>40</v>
      </c>
      <c r="D3" s="81">
        <v>3887</v>
      </c>
      <c r="E3" s="82" t="s">
        <v>41</v>
      </c>
      <c r="F3" s="70">
        <v>1074</v>
      </c>
      <c r="G3" s="63" t="s">
        <v>41</v>
      </c>
      <c r="H3" s="64">
        <v>2032</v>
      </c>
      <c r="I3" s="63" t="s">
        <v>41</v>
      </c>
      <c r="J3" s="64">
        <v>1807</v>
      </c>
      <c r="K3" s="99"/>
      <c r="L3" s="65" t="s">
        <v>39</v>
      </c>
      <c r="M3" s="74">
        <v>72</v>
      </c>
      <c r="N3" s="104"/>
      <c r="O3" s="67" t="s">
        <v>39</v>
      </c>
      <c r="P3" s="83">
        <v>359</v>
      </c>
      <c r="Q3" s="66" t="s">
        <v>39</v>
      </c>
      <c r="R3" s="74">
        <v>2476</v>
      </c>
      <c r="S3" s="94"/>
      <c r="T3" s="97"/>
      <c r="U3" s="97"/>
    </row>
    <row r="4" spans="1:21" ht="31.5" x14ac:dyDescent="0.2">
      <c r="A4" s="86" t="s">
        <v>63</v>
      </c>
      <c r="B4" s="91" t="s">
        <v>44</v>
      </c>
      <c r="C4" s="91" t="s">
        <v>45</v>
      </c>
      <c r="D4" s="91" t="s">
        <v>46</v>
      </c>
      <c r="E4" s="91" t="s">
        <v>47</v>
      </c>
      <c r="F4" s="91" t="s">
        <v>48</v>
      </c>
      <c r="G4" s="91" t="s">
        <v>66</v>
      </c>
      <c r="H4" s="91" t="s">
        <v>67</v>
      </c>
      <c r="I4" s="91" t="s">
        <v>68</v>
      </c>
      <c r="J4" s="91" t="s">
        <v>49</v>
      </c>
      <c r="K4" s="91" t="s">
        <v>50</v>
      </c>
      <c r="L4" s="91" t="s">
        <v>69</v>
      </c>
      <c r="M4" s="91" t="s">
        <v>70</v>
      </c>
      <c r="N4" s="91" t="s">
        <v>71</v>
      </c>
      <c r="O4" s="91" t="s">
        <v>51</v>
      </c>
      <c r="P4" s="91" t="s">
        <v>52</v>
      </c>
      <c r="Q4" s="91" t="s">
        <v>64</v>
      </c>
      <c r="R4" s="91" t="s">
        <v>53</v>
      </c>
      <c r="S4" s="91" t="s">
        <v>54</v>
      </c>
      <c r="T4" s="91" t="s">
        <v>55</v>
      </c>
      <c r="U4" s="91" t="s">
        <v>56</v>
      </c>
    </row>
    <row r="5" spans="1:21" ht="15.75" x14ac:dyDescent="0.25">
      <c r="A5" s="87" t="s">
        <v>30</v>
      </c>
      <c r="B5" s="92">
        <v>20000</v>
      </c>
      <c r="C5" s="90">
        <v>6</v>
      </c>
      <c r="D5" s="71">
        <f>C5*$D$3</f>
        <v>23322</v>
      </c>
      <c r="E5" s="80">
        <v>27</v>
      </c>
      <c r="F5" s="76">
        <f t="shared" ref="F5:F13" si="0">E5*$F$3</f>
        <v>28998</v>
      </c>
      <c r="G5" s="80">
        <v>52</v>
      </c>
      <c r="H5" s="76">
        <f t="shared" ref="H5:H13" si="1">G5*$H$3</f>
        <v>105664</v>
      </c>
      <c r="I5" s="80">
        <v>99</v>
      </c>
      <c r="J5" s="76">
        <f>I5*$J$3</f>
        <v>178893</v>
      </c>
      <c r="K5" s="100">
        <f>(Таблица2[[#This Row],[Колона2]]+Таблица2[[#This Row],[Колона4]]+Таблица2[[#This Row],[Колона6]]+Таблица2[[#This Row],[Колона8]]+Таблица2[[#This Row],[Колона10]])*$K$2</f>
        <v>12133.818000000001</v>
      </c>
      <c r="L5" s="75">
        <v>52</v>
      </c>
      <c r="M5" s="76">
        <f t="shared" ref="M5:M13" si="2">L5*$M$3</f>
        <v>3744</v>
      </c>
      <c r="N5" s="105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372754.81800000003</v>
      </c>
      <c r="O5" s="72">
        <v>5</v>
      </c>
      <c r="P5" s="71">
        <f t="shared" ref="P5:P13" si="3">O5*$P$3</f>
        <v>1795</v>
      </c>
      <c r="Q5" s="75">
        <v>5</v>
      </c>
      <c r="R5" s="76">
        <f t="shared" ref="R5:R13" si="4">Q5*$R$3</f>
        <v>12380</v>
      </c>
      <c r="S5" s="84">
        <f>Таблица2[[#This Row],[Колона16]]+Таблица2[[#This Row],[Колона18]]</f>
        <v>14175</v>
      </c>
      <c r="T5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386929.81800000003</v>
      </c>
      <c r="U5" s="107">
        <f>Таблица2[[#This Row],[Колона22]]-'2017'!X8</f>
        <v>-3853.407806451607</v>
      </c>
    </row>
    <row r="6" spans="1:21" ht="15.75" x14ac:dyDescent="0.25">
      <c r="A6" s="87" t="s">
        <v>31</v>
      </c>
      <c r="B6" s="92">
        <v>20000</v>
      </c>
      <c r="C6" s="90">
        <v>8</v>
      </c>
      <c r="D6" s="71">
        <f t="shared" ref="D6:D13" si="5">C6*$D$3</f>
        <v>31096</v>
      </c>
      <c r="E6" s="80">
        <v>0</v>
      </c>
      <c r="F6" s="76">
        <f t="shared" si="0"/>
        <v>0</v>
      </c>
      <c r="G6" s="80">
        <v>116</v>
      </c>
      <c r="H6" s="76">
        <f t="shared" si="1"/>
        <v>235712</v>
      </c>
      <c r="I6" s="80">
        <v>128</v>
      </c>
      <c r="J6" s="76">
        <f t="shared" ref="J6:J13" si="6">I6*$J$3</f>
        <v>231296</v>
      </c>
      <c r="K6" s="100">
        <f>(Таблица2[[#This Row],[Колона2]]+Таблица2[[#This Row],[Колона4]]+Таблица2[[#This Row],[Колона6]]+Таблица2[[#This Row],[Колона8]]+Таблица2[[#This Row],[Колона10]])*$K$2</f>
        <v>17615.536</v>
      </c>
      <c r="L6" s="75">
        <v>116</v>
      </c>
      <c r="M6" s="77">
        <f t="shared" si="2"/>
        <v>8352</v>
      </c>
      <c r="N6" s="95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544071.53599999996</v>
      </c>
      <c r="O6" s="72">
        <v>7</v>
      </c>
      <c r="P6" s="68">
        <f t="shared" si="3"/>
        <v>2513</v>
      </c>
      <c r="Q6" s="75">
        <v>0</v>
      </c>
      <c r="R6" s="77">
        <f t="shared" si="4"/>
        <v>0</v>
      </c>
      <c r="S6" s="84">
        <f>Таблица2[[#This Row],[Колона16]]+Таблица2[[#This Row],[Колона18]]</f>
        <v>2513</v>
      </c>
      <c r="T6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546584.53599999996</v>
      </c>
      <c r="U6" s="107">
        <f>Таблица2[[#This Row],[Колона22]]-'2017'!X9</f>
        <v>912.95535483863205</v>
      </c>
    </row>
    <row r="7" spans="1:21" ht="15.75" x14ac:dyDescent="0.25">
      <c r="A7" s="87" t="s">
        <v>32</v>
      </c>
      <c r="B7" s="92">
        <v>20000</v>
      </c>
      <c r="C7" s="90">
        <v>4</v>
      </c>
      <c r="D7" s="71">
        <f t="shared" si="5"/>
        <v>15548</v>
      </c>
      <c r="E7" s="80">
        <v>0</v>
      </c>
      <c r="F7" s="76">
        <f t="shared" si="0"/>
        <v>0</v>
      </c>
      <c r="G7" s="80">
        <v>64</v>
      </c>
      <c r="H7" s="76">
        <f t="shared" si="1"/>
        <v>130048</v>
      </c>
      <c r="I7" s="80">
        <v>59</v>
      </c>
      <c r="J7" s="76">
        <f t="shared" si="6"/>
        <v>106613</v>
      </c>
      <c r="K7" s="100">
        <f>(Таблица2[[#This Row],[Колона2]]+Таблица2[[#This Row],[Колона4]]+Таблица2[[#This Row],[Колона6]]+Таблица2[[#This Row],[Колона8]]+Таблица2[[#This Row],[Колона10]])*$K$2</f>
        <v>9255.1059999999998</v>
      </c>
      <c r="L7" s="75">
        <v>64</v>
      </c>
      <c r="M7" s="77">
        <f t="shared" si="2"/>
        <v>4608</v>
      </c>
      <c r="N7" s="95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286072.10600000003</v>
      </c>
      <c r="O7" s="72">
        <v>4</v>
      </c>
      <c r="P7" s="68">
        <f t="shared" si="3"/>
        <v>1436</v>
      </c>
      <c r="Q7" s="75">
        <v>0</v>
      </c>
      <c r="R7" s="77">
        <f t="shared" si="4"/>
        <v>0</v>
      </c>
      <c r="S7" s="84">
        <f>Таблица2[[#This Row],[Колона16]]+Таблица2[[#This Row],[Колона18]]</f>
        <v>1436</v>
      </c>
      <c r="T7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287508.10600000003</v>
      </c>
      <c r="U7" s="107">
        <f>Таблица2[[#This Row],[Колона22]]-'2017'!X10</f>
        <v>2586.7511612903327</v>
      </c>
    </row>
    <row r="8" spans="1:21" ht="15.75" x14ac:dyDescent="0.25">
      <c r="A8" s="87" t="s">
        <v>33</v>
      </c>
      <c r="B8" s="92">
        <v>20000</v>
      </c>
      <c r="C8" s="90">
        <v>5</v>
      </c>
      <c r="D8" s="71">
        <f t="shared" si="5"/>
        <v>19435</v>
      </c>
      <c r="E8" s="80">
        <v>0</v>
      </c>
      <c r="F8" s="76">
        <f t="shared" si="0"/>
        <v>0</v>
      </c>
      <c r="G8" s="80">
        <v>76</v>
      </c>
      <c r="H8" s="76">
        <f t="shared" si="1"/>
        <v>154432</v>
      </c>
      <c r="I8" s="80">
        <v>66</v>
      </c>
      <c r="J8" s="76">
        <f t="shared" si="6"/>
        <v>119262</v>
      </c>
      <c r="K8" s="100">
        <f>(Таблица2[[#This Row],[Колона2]]+Таблица2[[#This Row],[Колона4]]+Таблица2[[#This Row],[Колона6]]+Таблица2[[#This Row],[Колона8]]+Таблица2[[#This Row],[Колона10]])*$K$2</f>
        <v>10646.386</v>
      </c>
      <c r="L8" s="75">
        <v>76</v>
      </c>
      <c r="M8" s="77">
        <f t="shared" si="2"/>
        <v>5472</v>
      </c>
      <c r="N8" s="95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329247.386</v>
      </c>
      <c r="O8" s="72">
        <v>4</v>
      </c>
      <c r="P8" s="68">
        <f t="shared" si="3"/>
        <v>1436</v>
      </c>
      <c r="Q8" s="75">
        <v>0</v>
      </c>
      <c r="R8" s="77">
        <f t="shared" si="4"/>
        <v>0</v>
      </c>
      <c r="S8" s="84">
        <f>Таблица2[[#This Row],[Колона16]]+Таблица2[[#This Row],[Колона18]]</f>
        <v>1436</v>
      </c>
      <c r="T8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330683.386</v>
      </c>
      <c r="U8" s="107">
        <f>Таблица2[[#This Row],[Колона22]]-'2017'!X11</f>
        <v>4807.9021290322416</v>
      </c>
    </row>
    <row r="9" spans="1:21" ht="15.75" x14ac:dyDescent="0.25">
      <c r="A9" s="87" t="s">
        <v>11</v>
      </c>
      <c r="B9" s="92">
        <v>20000</v>
      </c>
      <c r="C9" s="90">
        <v>4</v>
      </c>
      <c r="D9" s="71">
        <f t="shared" si="5"/>
        <v>15548</v>
      </c>
      <c r="E9" s="80">
        <v>0</v>
      </c>
      <c r="F9" s="76">
        <f t="shared" si="0"/>
        <v>0</v>
      </c>
      <c r="G9" s="80">
        <v>57</v>
      </c>
      <c r="H9" s="76">
        <f t="shared" si="1"/>
        <v>115824</v>
      </c>
      <c r="I9" s="80">
        <v>66</v>
      </c>
      <c r="J9" s="76">
        <f t="shared" si="6"/>
        <v>119262</v>
      </c>
      <c r="K9" s="100">
        <f>(Таблица2[[#This Row],[Колона2]]+Таблица2[[#This Row],[Колона4]]+Таблица2[[#This Row],[Колона6]]+Таблица2[[#This Row],[Колона8]]+Таблица2[[#This Row],[Колона10]])*$K$2</f>
        <v>9201.5560000000005</v>
      </c>
      <c r="L9" s="75">
        <v>57</v>
      </c>
      <c r="M9" s="77">
        <f t="shared" si="2"/>
        <v>4104</v>
      </c>
      <c r="N9" s="95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283939.55599999998</v>
      </c>
      <c r="O9" s="72">
        <v>6</v>
      </c>
      <c r="P9" s="68">
        <f t="shared" si="3"/>
        <v>2154</v>
      </c>
      <c r="Q9" s="75">
        <v>0</v>
      </c>
      <c r="R9" s="77">
        <f t="shared" si="4"/>
        <v>0</v>
      </c>
      <c r="S9" s="84">
        <f>Таблица2[[#This Row],[Колона16]]+Таблица2[[#This Row],[Колона18]]</f>
        <v>2154</v>
      </c>
      <c r="T9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286093.55599999998</v>
      </c>
      <c r="U9" s="107">
        <f>Таблица2[[#This Row],[Колона22]]-'2017'!X12</f>
        <v>780.94309677416459</v>
      </c>
    </row>
    <row r="10" spans="1:21" ht="15.75" x14ac:dyDescent="0.25">
      <c r="A10" s="87" t="s">
        <v>12</v>
      </c>
      <c r="B10" s="92">
        <v>20000</v>
      </c>
      <c r="C10" s="90">
        <v>8</v>
      </c>
      <c r="D10" s="71">
        <f t="shared" si="5"/>
        <v>31096</v>
      </c>
      <c r="E10" s="80">
        <v>0</v>
      </c>
      <c r="F10" s="76">
        <f t="shared" si="0"/>
        <v>0</v>
      </c>
      <c r="G10" s="80">
        <v>99</v>
      </c>
      <c r="H10" s="76">
        <f t="shared" si="1"/>
        <v>201168</v>
      </c>
      <c r="I10" s="80">
        <v>121</v>
      </c>
      <c r="J10" s="76">
        <f t="shared" si="6"/>
        <v>218647</v>
      </c>
      <c r="K10" s="100">
        <f>(Таблица2[[#This Row],[Колона2]]+Таблица2[[#This Row],[Колона4]]+Таблица2[[#This Row],[Колона6]]+Таблица2[[#This Row],[Колона8]]+Таблица2[[#This Row],[Колона10]])*$K$2</f>
        <v>16010.974000000002</v>
      </c>
      <c r="L10" s="75">
        <v>99</v>
      </c>
      <c r="M10" s="77">
        <f t="shared" si="2"/>
        <v>7128</v>
      </c>
      <c r="N10" s="95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494049.97399999999</v>
      </c>
      <c r="O10" s="72">
        <v>10</v>
      </c>
      <c r="P10" s="68">
        <f t="shared" si="3"/>
        <v>3590</v>
      </c>
      <c r="Q10" s="75">
        <v>10</v>
      </c>
      <c r="R10" s="77">
        <f t="shared" si="4"/>
        <v>24760</v>
      </c>
      <c r="S10" s="84">
        <f>Таблица2[[#This Row],[Колона16]]+Таблица2[[#This Row],[Колона18]]</f>
        <v>28350</v>
      </c>
      <c r="T10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522399.97399999999</v>
      </c>
      <c r="U10" s="107">
        <f>Таблица2[[#This Row],[Колона22]]-'2017'!X13</f>
        <v>2708.909483870957</v>
      </c>
    </row>
    <row r="11" spans="1:21" ht="19.5" customHeight="1" x14ac:dyDescent="0.25">
      <c r="A11" s="87" t="s">
        <v>34</v>
      </c>
      <c r="B11" s="92">
        <v>20000</v>
      </c>
      <c r="C11" s="90">
        <v>2</v>
      </c>
      <c r="D11" s="71">
        <f t="shared" si="5"/>
        <v>7774</v>
      </c>
      <c r="E11" s="80">
        <v>0</v>
      </c>
      <c r="F11" s="76">
        <f t="shared" si="0"/>
        <v>0</v>
      </c>
      <c r="G11" s="80">
        <v>20</v>
      </c>
      <c r="H11" s="76">
        <f t="shared" si="1"/>
        <v>40640</v>
      </c>
      <c r="I11" s="80">
        <v>21</v>
      </c>
      <c r="J11" s="76">
        <f t="shared" si="6"/>
        <v>37947</v>
      </c>
      <c r="K11" s="100">
        <f>(Таблица2[[#This Row],[Колона2]]+Таблица2[[#This Row],[Колона4]]+Таблица2[[#This Row],[Колона6]]+Таблица2[[#This Row],[Колона8]]+Таблица2[[#This Row],[Колона10]])*$K$2</f>
        <v>3616.2740000000003</v>
      </c>
      <c r="L11" s="75">
        <v>20</v>
      </c>
      <c r="M11" s="77">
        <f t="shared" si="2"/>
        <v>1440</v>
      </c>
      <c r="N11" s="95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111417.274</v>
      </c>
      <c r="O11" s="72">
        <v>0</v>
      </c>
      <c r="P11" s="68">
        <f t="shared" si="3"/>
        <v>0</v>
      </c>
      <c r="Q11" s="75">
        <v>0</v>
      </c>
      <c r="R11" s="77">
        <f t="shared" si="4"/>
        <v>0</v>
      </c>
      <c r="S11" s="84">
        <f>Таблица2[[#This Row],[Колона16]]+Таблица2[[#This Row],[Колона18]]</f>
        <v>0</v>
      </c>
      <c r="T11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111417.274</v>
      </c>
      <c r="U11" s="107">
        <f>Таблица2[[#This Row],[Колона22]]-'2017'!X14</f>
        <v>4317.7256129032321</v>
      </c>
    </row>
    <row r="12" spans="1:21" ht="15.75" x14ac:dyDescent="0.25">
      <c r="A12" s="87" t="s">
        <v>35</v>
      </c>
      <c r="B12" s="92">
        <v>20000</v>
      </c>
      <c r="C12" s="90">
        <v>6</v>
      </c>
      <c r="D12" s="71">
        <f t="shared" si="5"/>
        <v>23322</v>
      </c>
      <c r="E12" s="80">
        <v>13</v>
      </c>
      <c r="F12" s="76">
        <f t="shared" si="0"/>
        <v>13962</v>
      </c>
      <c r="G12" s="80">
        <v>65</v>
      </c>
      <c r="H12" s="76">
        <f t="shared" si="1"/>
        <v>132080</v>
      </c>
      <c r="I12" s="80">
        <v>56</v>
      </c>
      <c r="J12" s="76">
        <f t="shared" si="6"/>
        <v>101192</v>
      </c>
      <c r="K12" s="100">
        <f>(Таблица2[[#This Row],[Колона2]]+Таблица2[[#This Row],[Колона4]]+Таблица2[[#This Row],[Колона6]]+Таблица2[[#This Row],[Колона8]]+Таблица2[[#This Row],[Колона10]])*$K$2</f>
        <v>9878.9040000000005</v>
      </c>
      <c r="L12" s="75">
        <v>65</v>
      </c>
      <c r="M12" s="77">
        <f t="shared" si="2"/>
        <v>4680</v>
      </c>
      <c r="N12" s="95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305114.90399999998</v>
      </c>
      <c r="O12" s="72">
        <v>3</v>
      </c>
      <c r="P12" s="68">
        <f t="shared" si="3"/>
        <v>1077</v>
      </c>
      <c r="Q12" s="75">
        <v>0</v>
      </c>
      <c r="R12" s="77">
        <f t="shared" si="4"/>
        <v>0</v>
      </c>
      <c r="S12" s="84">
        <f>Таблица2[[#This Row],[Колона16]]+Таблица2[[#This Row],[Колона18]]</f>
        <v>1077</v>
      </c>
      <c r="T12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306191.90399999998</v>
      </c>
      <c r="U12" s="107">
        <f>Таблица2[[#This Row],[Колона22]]-'2017'!X15</f>
        <v>9389.8717419354944</v>
      </c>
    </row>
    <row r="13" spans="1:21" ht="15.75" x14ac:dyDescent="0.25">
      <c r="A13" s="88" t="s">
        <v>36</v>
      </c>
      <c r="B13" s="92">
        <v>20000</v>
      </c>
      <c r="C13" s="73">
        <v>4</v>
      </c>
      <c r="D13" s="71">
        <f t="shared" si="5"/>
        <v>15548</v>
      </c>
      <c r="E13" s="78">
        <v>0</v>
      </c>
      <c r="F13" s="79">
        <f t="shared" si="0"/>
        <v>0</v>
      </c>
      <c r="G13" s="78">
        <v>40</v>
      </c>
      <c r="H13" s="79">
        <f t="shared" si="1"/>
        <v>81280</v>
      </c>
      <c r="I13" s="78">
        <v>65</v>
      </c>
      <c r="J13" s="79">
        <f t="shared" si="6"/>
        <v>117455</v>
      </c>
      <c r="K13" s="85">
        <f>(Таблица2[[#This Row],[Колона2]]+Таблица2[[#This Row],[Колона4]]+Таблица2[[#This Row],[Колона6]]+Таблица2[[#This Row],[Колона8]]+Таблица2[[#This Row],[Колона10]])*$K$2</f>
        <v>7965.6220000000003</v>
      </c>
      <c r="L13" s="78">
        <v>40</v>
      </c>
      <c r="M13" s="79">
        <f t="shared" si="2"/>
        <v>2880</v>
      </c>
      <c r="N13" s="9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Row],[Колона11]]</f>
        <v>245128.622</v>
      </c>
      <c r="O13" s="73">
        <v>0</v>
      </c>
      <c r="P13" s="69">
        <f t="shared" si="3"/>
        <v>0</v>
      </c>
      <c r="Q13" s="78">
        <v>0</v>
      </c>
      <c r="R13" s="79">
        <f t="shared" si="4"/>
        <v>0</v>
      </c>
      <c r="S13" s="85">
        <f>Таблица2[[#This Row],[Колона16]]+Таблица2[[#This Row],[Колона18]]</f>
        <v>0</v>
      </c>
      <c r="T13" s="106">
        <f>Таблица2[[#This Row],[Колона2]]+Таблица2[[#This Row],[Колона4]]+Таблица2[[#This Row],[Колона6]]+Таблица2[[#This Row],[Колона8]]+Таблица2[[#This Row],[Колона10]]+Таблица2[[#This Row],[Колона13]]+Таблица2[[#This Row],[Колона19]]+Таблица2[[#This Row],[Колона11]]</f>
        <v>245128.622</v>
      </c>
      <c r="U13" s="107">
        <f>Таблица2[[#This Row],[Колона22]]-'2017'!X16</f>
        <v>1031.5252258064575</v>
      </c>
    </row>
    <row r="14" spans="1:21" ht="16.5" thickBot="1" x14ac:dyDescent="0.25">
      <c r="A14" s="88" t="s">
        <v>37</v>
      </c>
      <c r="B14" s="117">
        <f>SUBTOTAL(109,Таблица2[Колона2])</f>
        <v>180000</v>
      </c>
      <c r="C14" s="118">
        <f>SUBTOTAL(109,Таблица2[Колона3])</f>
        <v>47</v>
      </c>
      <c r="D14" s="119">
        <f>SUBTOTAL(109,Таблица2[Колона4])</f>
        <v>182689</v>
      </c>
      <c r="E14" s="120">
        <f>SUBTOTAL(109,Таблица2[Колона5])</f>
        <v>40</v>
      </c>
      <c r="F14" s="121">
        <f>SUBTOTAL(109,Таблица2[Колона6])</f>
        <v>42960</v>
      </c>
      <c r="G14" s="120">
        <f>SUBTOTAL(109,Таблица2[Колона7])</f>
        <v>589</v>
      </c>
      <c r="H14" s="121">
        <f>SUBTOTAL(109,Таблица2[Колона8])</f>
        <v>1196848</v>
      </c>
      <c r="I14" s="120">
        <f>SUBTOTAL(109,Таблица2[Колона9])</f>
        <v>681</v>
      </c>
      <c r="J14" s="121">
        <f>SUBTOTAL(109,Таблица2[Колона10])</f>
        <v>1230567</v>
      </c>
      <c r="K14" s="121">
        <f>SUBTOTAL(109,Таблица2[Колона11])</f>
        <v>96324.176000000007</v>
      </c>
      <c r="L14" s="120">
        <f>SUBTOTAL(109,Таблица2[Колона12])</f>
        <v>589</v>
      </c>
      <c r="M14" s="121">
        <f>SUBTOTAL(109,Таблица2[Колона13])</f>
        <v>42408</v>
      </c>
      <c r="N14" s="117">
        <f>SUBTOTAL(109,Таблица2[Колона14])</f>
        <v>2971796.176</v>
      </c>
      <c r="O14" s="118">
        <f>SUBTOTAL(109,Таблица2[Колона15])</f>
        <v>39</v>
      </c>
      <c r="P14" s="119">
        <f>SUBTOTAL(109,Таблица2[Колона16])</f>
        <v>14001</v>
      </c>
      <c r="Q14" s="120">
        <f>SUBTOTAL(109,Таблица2[Колона17])</f>
        <v>15</v>
      </c>
      <c r="R14" s="121">
        <f>SUBTOTAL(109,Таблица2[Колона18])</f>
        <v>37140</v>
      </c>
      <c r="S14" s="122">
        <f>SUBTOTAL(109,Таблица2[Колона19])</f>
        <v>51141</v>
      </c>
      <c r="T14" s="106">
        <f>SUBTOTAL(109,Таблица2[Колона22])</f>
        <v>3022937.176</v>
      </c>
      <c r="U14" s="107">
        <f>SUBTOTAL(109,Таблица2[Колона23])</f>
        <v>22683.175999999905</v>
      </c>
    </row>
    <row r="16" spans="1:21" x14ac:dyDescent="0.2">
      <c r="T16" s="98"/>
    </row>
    <row r="19" spans="19:19" x14ac:dyDescent="0.2">
      <c r="S19" s="98"/>
    </row>
  </sheetData>
  <mergeCells count="9">
    <mergeCell ref="Q2:R2"/>
    <mergeCell ref="L2:M2"/>
    <mergeCell ref="B2:B3"/>
    <mergeCell ref="I2:J2"/>
    <mergeCell ref="A2:A3"/>
    <mergeCell ref="E2:F2"/>
    <mergeCell ref="C2:D2"/>
    <mergeCell ref="G2:H2"/>
    <mergeCell ref="O2:P2"/>
  </mergeCells>
  <phoneticPr fontId="0" type="noConversion"/>
  <pageMargins left="0.75" right="0.75" top="1" bottom="1" header="0" footer="0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tabSelected="1" workbookViewId="0">
      <selection activeCell="H7" sqref="H7"/>
    </sheetView>
  </sheetViews>
  <sheetFormatPr defaultRowHeight="12.75" x14ac:dyDescent="0.2"/>
  <cols>
    <col min="1" max="1" width="29.140625" customWidth="1"/>
    <col min="2" max="2" width="8.7109375" customWidth="1"/>
    <col min="3" max="3" width="7.7109375" customWidth="1"/>
    <col min="4" max="4" width="9.140625" customWidth="1"/>
    <col min="5" max="5" width="8" customWidth="1"/>
    <col min="6" max="7" width="7.7109375" customWidth="1"/>
    <col min="8" max="9" width="10" customWidth="1"/>
    <col min="10" max="11" width="12" customWidth="1"/>
    <col min="12" max="12" width="7.85546875" customWidth="1"/>
    <col min="13" max="13" width="10.42578125" customWidth="1"/>
    <col min="14" max="14" width="9" customWidth="1"/>
    <col min="15" max="16" width="10.42578125" customWidth="1"/>
    <col min="17" max="18" width="11.7109375" customWidth="1"/>
    <col min="19" max="19" width="11" customWidth="1"/>
    <col min="20" max="20" width="8.5703125" customWidth="1"/>
    <col min="21" max="22" width="10.42578125" customWidth="1"/>
    <col min="23" max="24" width="8.7109375" customWidth="1"/>
    <col min="25" max="25" width="9.42578125" customWidth="1"/>
    <col min="26" max="26" width="8.85546875" customWidth="1"/>
    <col min="27" max="27" width="9.5703125" customWidth="1"/>
    <col min="29" max="30" width="0" hidden="1" customWidth="1"/>
    <col min="31" max="31" width="9.5703125" hidden="1" customWidth="1"/>
    <col min="32" max="33" width="0" hidden="1" customWidth="1"/>
  </cols>
  <sheetData>
    <row r="1" spans="1:33" ht="38.25" customHeight="1" thickBot="1" x14ac:dyDescent="0.3">
      <c r="A1" s="163" t="s">
        <v>96</v>
      </c>
      <c r="B1" s="211" t="s">
        <v>87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3"/>
      <c r="T1" s="214" t="s">
        <v>88</v>
      </c>
      <c r="U1" s="215"/>
      <c r="V1" s="139"/>
    </row>
    <row r="2" spans="1:33" ht="51" customHeight="1" thickBot="1" x14ac:dyDescent="0.3">
      <c r="A2" s="197" t="s">
        <v>62</v>
      </c>
      <c r="B2" s="205" t="s">
        <v>42</v>
      </c>
      <c r="C2" s="206" t="s">
        <v>59</v>
      </c>
      <c r="D2" s="206"/>
      <c r="E2" s="207" t="s">
        <v>58</v>
      </c>
      <c r="F2" s="208"/>
      <c r="G2" s="209" t="s">
        <v>65</v>
      </c>
      <c r="H2" s="210"/>
      <c r="I2" s="130">
        <f>Таблица24[[#Totals],[Колона8]]*0.5%</f>
        <v>6379.5473499999998</v>
      </c>
      <c r="J2" s="131">
        <f>Таблица24[[#Totals],[Колона8]]-Таблица24[[#Totals],[Колона9]]</f>
        <v>1269529.9226500001</v>
      </c>
      <c r="K2" s="132" t="s">
        <v>85</v>
      </c>
      <c r="L2" s="217" t="s">
        <v>61</v>
      </c>
      <c r="M2" s="218"/>
      <c r="N2" s="133">
        <f>Таблица24[[#Totals],[Колона13]]*0.5%</f>
        <v>6583.8398999999999</v>
      </c>
      <c r="O2" s="134">
        <f>Таблица24[[#Totals],[Колона13]]-Таблица24[[#Totals],[Колона14]]</f>
        <v>1310184.1401</v>
      </c>
      <c r="P2" s="135" t="s">
        <v>84</v>
      </c>
      <c r="Q2" s="136" t="s">
        <v>86</v>
      </c>
      <c r="R2" s="137" t="s">
        <v>81</v>
      </c>
      <c r="S2" s="138" t="s">
        <v>83</v>
      </c>
      <c r="T2" s="216" t="s">
        <v>38</v>
      </c>
      <c r="U2" s="192"/>
      <c r="V2" s="140" t="s">
        <v>89</v>
      </c>
      <c r="W2" s="204" t="s">
        <v>43</v>
      </c>
      <c r="X2" s="204"/>
      <c r="Y2" s="189" t="s">
        <v>28</v>
      </c>
      <c r="Z2" s="190"/>
      <c r="AA2" s="93" t="s">
        <v>60</v>
      </c>
      <c r="AB2" s="102" t="s">
        <v>72</v>
      </c>
      <c r="AC2" s="102" t="s">
        <v>57</v>
      </c>
    </row>
    <row r="3" spans="1:33" ht="12.75" customHeight="1" x14ac:dyDescent="0.2">
      <c r="A3" s="198"/>
      <c r="B3" s="194"/>
      <c r="C3" s="89" t="s">
        <v>40</v>
      </c>
      <c r="D3" s="81">
        <v>4133.93</v>
      </c>
      <c r="E3" s="82" t="s">
        <v>41</v>
      </c>
      <c r="F3" s="70">
        <v>1208.7460000000001</v>
      </c>
      <c r="G3" s="63" t="s">
        <v>41</v>
      </c>
      <c r="H3" s="64">
        <v>2166.23</v>
      </c>
      <c r="I3" s="99" t="s">
        <v>82</v>
      </c>
      <c r="J3" s="123"/>
      <c r="K3" s="124"/>
      <c r="L3" s="63" t="s">
        <v>41</v>
      </c>
      <c r="M3" s="125">
        <v>1933.58</v>
      </c>
      <c r="N3" s="129" t="s">
        <v>82</v>
      </c>
      <c r="O3" s="127"/>
      <c r="P3" s="64"/>
      <c r="Q3" s="112"/>
      <c r="R3" s="97"/>
      <c r="S3" s="116"/>
      <c r="T3" s="126" t="s">
        <v>39</v>
      </c>
      <c r="U3" s="74">
        <v>72</v>
      </c>
      <c r="V3" s="104"/>
      <c r="W3" s="67" t="s">
        <v>39</v>
      </c>
      <c r="X3" s="83">
        <v>359</v>
      </c>
      <c r="Y3" s="66" t="s">
        <v>39</v>
      </c>
      <c r="Z3" s="74">
        <v>2476</v>
      </c>
      <c r="AA3" s="94"/>
      <c r="AB3" s="97"/>
      <c r="AC3" s="97"/>
      <c r="AD3" s="111">
        <v>0.3</v>
      </c>
      <c r="AE3" s="110" t="s">
        <v>57</v>
      </c>
      <c r="AF3" s="98">
        <f>(AE5+AE6+AE7+AE8+AE9+AE10+AE13)/7</f>
        <v>1869.6975299539058</v>
      </c>
    </row>
    <row r="4" spans="1:33" s="146" customFormat="1" ht="24.75" customHeight="1" x14ac:dyDescent="0.2">
      <c r="A4" s="141" t="s">
        <v>94</v>
      </c>
      <c r="B4" s="141" t="s">
        <v>44</v>
      </c>
      <c r="C4" s="141" t="s">
        <v>45</v>
      </c>
      <c r="D4" s="141" t="s">
        <v>46</v>
      </c>
      <c r="E4" s="141" t="s">
        <v>47</v>
      </c>
      <c r="F4" s="141" t="s">
        <v>48</v>
      </c>
      <c r="G4" s="141" t="s">
        <v>66</v>
      </c>
      <c r="H4" s="141" t="s">
        <v>67</v>
      </c>
      <c r="I4" s="141" t="s">
        <v>68</v>
      </c>
      <c r="J4" s="141" t="s">
        <v>49</v>
      </c>
      <c r="K4" s="141" t="s">
        <v>50</v>
      </c>
      <c r="L4" s="141" t="s">
        <v>69</v>
      </c>
      <c r="M4" s="141" t="s">
        <v>70</v>
      </c>
      <c r="N4" s="141" t="s">
        <v>71</v>
      </c>
      <c r="O4" s="141" t="s">
        <v>51</v>
      </c>
      <c r="P4" s="141" t="s">
        <v>52</v>
      </c>
      <c r="Q4" s="141" t="s">
        <v>64</v>
      </c>
      <c r="R4" s="141" t="s">
        <v>53</v>
      </c>
      <c r="S4" s="141" t="s">
        <v>54</v>
      </c>
      <c r="T4" s="141" t="s">
        <v>90</v>
      </c>
      <c r="U4" s="141" t="s">
        <v>91</v>
      </c>
      <c r="V4" s="141" t="s">
        <v>55</v>
      </c>
      <c r="W4" s="141" t="s">
        <v>56</v>
      </c>
      <c r="X4" s="141" t="s">
        <v>73</v>
      </c>
      <c r="Y4" s="141" t="s">
        <v>74</v>
      </c>
      <c r="Z4" s="141" t="s">
        <v>75</v>
      </c>
      <c r="AA4" s="141" t="s">
        <v>92</v>
      </c>
      <c r="AB4" s="141" t="s">
        <v>93</v>
      </c>
      <c r="AC4" s="142" t="s">
        <v>80</v>
      </c>
      <c r="AD4" s="143" t="s">
        <v>76</v>
      </c>
      <c r="AE4" s="143" t="s">
        <v>77</v>
      </c>
      <c r="AF4" s="144" t="s">
        <v>78</v>
      </c>
      <c r="AG4" s="145" t="s">
        <v>79</v>
      </c>
    </row>
    <row r="5" spans="1:33" ht="15.75" x14ac:dyDescent="0.25">
      <c r="A5" s="87" t="s">
        <v>30</v>
      </c>
      <c r="B5" s="92">
        <v>20680</v>
      </c>
      <c r="C5" s="90">
        <v>6</v>
      </c>
      <c r="D5" s="71">
        <f>C5*$D$3</f>
        <v>24803.58</v>
      </c>
      <c r="E5" s="80">
        <v>27</v>
      </c>
      <c r="F5" s="76">
        <f t="shared" ref="F5:F13" si="0">E5*$F$3</f>
        <v>32636.142000000003</v>
      </c>
      <c r="G5" s="80">
        <v>52</v>
      </c>
      <c r="H5" s="76">
        <f t="shared" ref="H5:H13" si="1">G5*$H$3</f>
        <v>112643.96</v>
      </c>
      <c r="I5" s="100">
        <f>I2/3</f>
        <v>2126.5157833333333</v>
      </c>
      <c r="J5" s="105">
        <f>$J$2/Таблица24[[#Totals],[Колона7]]*Таблица24[[#This Row],[Колона7]]</f>
        <v>112080.7402</v>
      </c>
      <c r="K5" s="113">
        <f>Таблица24[[#This Row],[Колона9]]+Таблица24[[#This Row],[Колона10]]</f>
        <v>114207.25598333334</v>
      </c>
      <c r="L5" s="80">
        <v>99</v>
      </c>
      <c r="M5" s="71">
        <f>L5*$M$3</f>
        <v>191424.41999999998</v>
      </c>
      <c r="N5" s="80">
        <f>N2/3</f>
        <v>2194.6133</v>
      </c>
      <c r="O5" s="128">
        <f>$O$2/Таблица24[[#Totals],[Колона12]]*Таблица24[[#This Row],[Колона12]]</f>
        <v>190467.29790000001</v>
      </c>
      <c r="P5" s="76">
        <f>Таблица24[[#This Row],[Колона14]]+Таблица24[[#This Row],[Колона15]]</f>
        <v>192661.9112</v>
      </c>
      <c r="Q5" s="113">
        <f>Таблица24[[#This Row],[Колона2]]+Таблица24[[#This Row],[Колона4]]+Таблица24[[#This Row],[Колона6]]+Таблица24[[#This Row],[Колона11]]+Таблица24[[#This Row],[Колона16]]</f>
        <v>384988.88918333338</v>
      </c>
      <c r="R5" s="107">
        <v>6090</v>
      </c>
      <c r="S5" s="107">
        <f>Таблица24[[#This Row],[Колона17]]+Таблица24[[#This Row],[Колона18]]</f>
        <v>391078.88918333338</v>
      </c>
      <c r="T5" s="72">
        <v>52</v>
      </c>
      <c r="U5" s="76">
        <f t="shared" ref="U5:U13" si="2">T5*$U$3</f>
        <v>3744</v>
      </c>
      <c r="V5" s="105">
        <f>Таблица24[[#This Row],[Колона19]]+Таблица24[[#This Row],[Колона21]]</f>
        <v>394822.88918333338</v>
      </c>
      <c r="W5" s="72">
        <v>5</v>
      </c>
      <c r="X5" s="71">
        <f t="shared" ref="X5:X13" si="3">W5*$X$3</f>
        <v>1795</v>
      </c>
      <c r="Y5" s="75">
        <v>5</v>
      </c>
      <c r="Z5" s="76">
        <f t="shared" ref="Z5:Z13" si="4">Y5*$Z$3</f>
        <v>12380</v>
      </c>
      <c r="AA5" s="84">
        <f>Таблица24[[#This Row],[Колона24]]+Таблица24[[#This Row],[Колона26]]</f>
        <v>14175</v>
      </c>
      <c r="AB5" s="147">
        <f>Таблица24[[#This Row],[Колона22]]+Таблица24[[#This Row],[Колона27]]</f>
        <v>408997.88918333338</v>
      </c>
      <c r="AC5" s="107">
        <v>-3853.407806451607</v>
      </c>
      <c r="AD5" s="98">
        <v>7961</v>
      </c>
      <c r="AE5" s="98">
        <f>Таблица24[[#This Row],[Колона232]]+Таблица24[[#This Row],[Колона242]]</f>
        <v>4107.592193548393</v>
      </c>
      <c r="AF5" s="98">
        <f t="shared" ref="AF5" si="5">(AE7+AE8+AE9+AE10+AE13+AE6+AE5)/7</f>
        <v>1869.697529953906</v>
      </c>
      <c r="AG5" s="98">
        <f>Таблица24[[#This Row],[Колона28]]+Таблица24[[#This Row],[Колона253]]</f>
        <v>413105.48137688177</v>
      </c>
    </row>
    <row r="6" spans="1:33" ht="15.75" x14ac:dyDescent="0.25">
      <c r="A6" s="87" t="s">
        <v>31</v>
      </c>
      <c r="B6" s="92">
        <v>20680</v>
      </c>
      <c r="C6" s="90">
        <v>8</v>
      </c>
      <c r="D6" s="71">
        <f t="shared" ref="D6:D13" si="6">C6*$D$3</f>
        <v>33071.440000000002</v>
      </c>
      <c r="E6" s="80">
        <v>0</v>
      </c>
      <c r="F6" s="76">
        <f t="shared" si="0"/>
        <v>0</v>
      </c>
      <c r="G6" s="80">
        <v>116</v>
      </c>
      <c r="H6" s="76">
        <f t="shared" si="1"/>
        <v>251282.68</v>
      </c>
      <c r="I6" s="100"/>
      <c r="J6" s="105">
        <f>$J$2/Таблица24[[#Totals],[Колона7]]*Таблица24[[#This Row],[Колона7]]</f>
        <v>250026.2666</v>
      </c>
      <c r="K6" s="113">
        <f>Таблица24[[#This Row],[Колона9]]+Таблица24[[#This Row],[Колона10]]</f>
        <v>250026.2666</v>
      </c>
      <c r="L6" s="80">
        <v>128</v>
      </c>
      <c r="M6" s="71">
        <f t="shared" ref="M6:M13" si="7">L6*$M$3</f>
        <v>247498.23999999999</v>
      </c>
      <c r="N6" s="80"/>
      <c r="O6" s="128">
        <f>$O$2/Таблица24[[#Totals],[Колона12]]*Таблица24[[#This Row],[Колона12]]</f>
        <v>246260.7488</v>
      </c>
      <c r="P6" s="76">
        <f>Таблица24[[#This Row],[Колона14]]+Таблица24[[#This Row],[Колона15]]</f>
        <v>246260.7488</v>
      </c>
      <c r="Q6" s="114">
        <f>Таблица24[[#This Row],[Колона2]]+Таблица24[[#This Row],[Колона4]]+Таблица24[[#This Row],[Колона6]]+Таблица24[[#This Row],[Колона11]]+Таблица24[[#This Row],[Колона16]]</f>
        <v>550038.45540000009</v>
      </c>
      <c r="R6" s="107">
        <v>2351</v>
      </c>
      <c r="S6" s="107">
        <f>Таблица24[[#This Row],[Колона17]]+Таблица24[[#This Row],[Колона18]]</f>
        <v>552389.45540000009</v>
      </c>
      <c r="T6" s="72">
        <v>116</v>
      </c>
      <c r="U6" s="77">
        <f t="shared" si="2"/>
        <v>8352</v>
      </c>
      <c r="V6" s="95">
        <f>Таблица24[[#This Row],[Колона19]]+Таблица24[[#This Row],[Колона21]]</f>
        <v>560741.45540000009</v>
      </c>
      <c r="W6" s="72">
        <v>7</v>
      </c>
      <c r="X6" s="68">
        <f t="shared" si="3"/>
        <v>2513</v>
      </c>
      <c r="Y6" s="75">
        <v>0</v>
      </c>
      <c r="Z6" s="77">
        <f t="shared" si="4"/>
        <v>0</v>
      </c>
      <c r="AA6" s="84">
        <f>Таблица24[[#This Row],[Колона24]]+Таблица24[[#This Row],[Колона26]]</f>
        <v>2513</v>
      </c>
      <c r="AB6" s="147">
        <f>Таблица24[[#This Row],[Колона22]]+Таблица24[[#This Row],[Колона27]]</f>
        <v>563254.45540000009</v>
      </c>
      <c r="AC6" s="107">
        <v>912.95535483863205</v>
      </c>
      <c r="AD6" s="98">
        <f>-Таблица24[[#This Row],[Колона232]]*30%</f>
        <v>-273.88660645158961</v>
      </c>
      <c r="AE6" s="98">
        <f>Таблица24[[#This Row],[Колона232]]+Таблица24[[#This Row],[Колона242]]</f>
        <v>639.06874838704243</v>
      </c>
      <c r="AF6" s="98">
        <f>(AE8+AE9+AE10+AE5+AE13+AE7+AE6)/7</f>
        <v>1869.697529953906</v>
      </c>
      <c r="AG6" s="98">
        <f>Таблица24[[#This Row],[Колона28]]+Таблица24[[#This Row],[Колона242]]</f>
        <v>562980.5687935485</v>
      </c>
    </row>
    <row r="7" spans="1:33" ht="15.75" x14ac:dyDescent="0.25">
      <c r="A7" s="87" t="s">
        <v>32</v>
      </c>
      <c r="B7" s="92">
        <v>20680</v>
      </c>
      <c r="C7" s="90">
        <v>4</v>
      </c>
      <c r="D7" s="71">
        <f t="shared" si="6"/>
        <v>16535.72</v>
      </c>
      <c r="E7" s="80">
        <v>0</v>
      </c>
      <c r="F7" s="76">
        <f t="shared" si="0"/>
        <v>0</v>
      </c>
      <c r="G7" s="80">
        <v>64</v>
      </c>
      <c r="H7" s="76">
        <f t="shared" si="1"/>
        <v>138638.72</v>
      </c>
      <c r="I7" s="100"/>
      <c r="J7" s="105">
        <f>$J$2/Таблица24[[#Totals],[Колона7]]*Таблица24[[#This Row],[Колона7]]</f>
        <v>137945.5264</v>
      </c>
      <c r="K7" s="113">
        <f>Таблица24[[#This Row],[Колона9]]+Таблица24[[#This Row],[Колона10]]</f>
        <v>137945.5264</v>
      </c>
      <c r="L7" s="80">
        <v>59</v>
      </c>
      <c r="M7" s="71">
        <f t="shared" si="7"/>
        <v>114081.22</v>
      </c>
      <c r="N7" s="80"/>
      <c r="O7" s="128">
        <f>$O$2/Таблица24[[#Totals],[Колона12]]*Таблица24[[#This Row],[Колона12]]</f>
        <v>113510.81389999999</v>
      </c>
      <c r="P7" s="76">
        <f>Таблица24[[#This Row],[Колона14]]+Таблица24[[#This Row],[Колона15]]</f>
        <v>113510.81389999999</v>
      </c>
      <c r="Q7" s="114">
        <f>Таблица24[[#This Row],[Колона2]]+Таблица24[[#This Row],[Колона4]]+Таблица24[[#This Row],[Колона6]]+Таблица24[[#This Row],[Колона11]]+Таблица24[[#This Row],[Колона16]]</f>
        <v>288672.06030000001</v>
      </c>
      <c r="R7" s="107">
        <v>-870.31852529033245</v>
      </c>
      <c r="S7" s="107">
        <f>Таблица24[[#This Row],[Колона17]]+Таблица24[[#This Row],[Колона18]]</f>
        <v>287801.74177470966</v>
      </c>
      <c r="T7" s="72">
        <v>64</v>
      </c>
      <c r="U7" s="77">
        <f t="shared" si="2"/>
        <v>4608</v>
      </c>
      <c r="V7" s="95">
        <f>Таблица24[[#This Row],[Колона19]]+Таблица24[[#This Row],[Колона21]]</f>
        <v>292409.74177470966</v>
      </c>
      <c r="W7" s="72">
        <v>4</v>
      </c>
      <c r="X7" s="68">
        <f t="shared" si="3"/>
        <v>1436</v>
      </c>
      <c r="Y7" s="75">
        <v>0</v>
      </c>
      <c r="Z7" s="77">
        <f t="shared" si="4"/>
        <v>0</v>
      </c>
      <c r="AA7" s="84">
        <f>Таблица24[[#This Row],[Колона24]]+Таблица24[[#This Row],[Колона26]]</f>
        <v>1436</v>
      </c>
      <c r="AB7" s="147">
        <f>Таблица24[[#This Row],[Колона22]]+Таблица24[[#This Row],[Колона27]]</f>
        <v>293845.74177470966</v>
      </c>
      <c r="AC7" s="107">
        <v>2586.7511612903327</v>
      </c>
      <c r="AD7" s="98">
        <f>-Таблица24[[#This Row],[Колона232]]*30%</f>
        <v>-776.02534838709983</v>
      </c>
      <c r="AE7" s="98">
        <f>Таблица24[[#This Row],[Колона232]]+Таблица24[[#This Row],[Колона242]]</f>
        <v>1810.725812903233</v>
      </c>
      <c r="AF7" s="98">
        <f>(AE9+AE10+AE5+AE6+AE13+AE8+AE7)/7</f>
        <v>1869.697529953906</v>
      </c>
      <c r="AG7" s="98">
        <f>Таблица24[[#This Row],[Колона28]]+Таблица24[[#This Row],[Колона242]]</f>
        <v>293069.71642632259</v>
      </c>
    </row>
    <row r="8" spans="1:33" ht="15.75" x14ac:dyDescent="0.25">
      <c r="A8" s="87" t="s">
        <v>33</v>
      </c>
      <c r="B8" s="92">
        <v>20680</v>
      </c>
      <c r="C8" s="90">
        <v>5</v>
      </c>
      <c r="D8" s="71">
        <f t="shared" si="6"/>
        <v>20669.650000000001</v>
      </c>
      <c r="E8" s="80">
        <v>0</v>
      </c>
      <c r="F8" s="76">
        <f t="shared" si="0"/>
        <v>0</v>
      </c>
      <c r="G8" s="80">
        <v>76</v>
      </c>
      <c r="H8" s="76">
        <f t="shared" si="1"/>
        <v>164633.48000000001</v>
      </c>
      <c r="I8" s="100"/>
      <c r="J8" s="105">
        <f>$J$2/Таблица24[[#Totals],[Колона7]]*Таблица24[[#This Row],[Колона7]]</f>
        <v>163810.3126</v>
      </c>
      <c r="K8" s="113">
        <f>Таблица24[[#This Row],[Колона9]]+Таблица24[[#This Row],[Колона10]]</f>
        <v>163810.3126</v>
      </c>
      <c r="L8" s="80">
        <v>66</v>
      </c>
      <c r="M8" s="71">
        <f t="shared" si="7"/>
        <v>127616.28</v>
      </c>
      <c r="N8" s="80"/>
      <c r="O8" s="128">
        <f>$O$2/Таблица24[[#Totals],[Колона12]]*Таблица24[[#This Row],[Колона12]]</f>
        <v>126978.1986</v>
      </c>
      <c r="P8" s="76">
        <f>Таблица24[[#This Row],[Колона14]]+Таблица24[[#This Row],[Колона15]]</f>
        <v>126978.1986</v>
      </c>
      <c r="Q8" s="114">
        <f>Таблица24[[#This Row],[Колона2]]+Таблица24[[#This Row],[Колона4]]+Таблица24[[#This Row],[Колона6]]+Таблица24[[#This Row],[Колона11]]+Таблица24[[#This Row],[Колона16]]</f>
        <v>332138.16119999997</v>
      </c>
      <c r="R8" s="107">
        <v>-2832.4178130322416</v>
      </c>
      <c r="S8" s="107">
        <f>Таблица24[[#This Row],[Колона17]]+Таблица24[[#This Row],[Колона18]]</f>
        <v>329305.74338696775</v>
      </c>
      <c r="T8" s="72">
        <v>76</v>
      </c>
      <c r="U8" s="77">
        <f t="shared" si="2"/>
        <v>5472</v>
      </c>
      <c r="V8" s="95">
        <f>Таблица24[[#This Row],[Колона19]]+Таблица24[[#This Row],[Колона21]]</f>
        <v>334777.74338696775</v>
      </c>
      <c r="W8" s="72">
        <v>4</v>
      </c>
      <c r="X8" s="68">
        <f t="shared" si="3"/>
        <v>1436</v>
      </c>
      <c r="Y8" s="75">
        <v>0</v>
      </c>
      <c r="Z8" s="77">
        <f t="shared" si="4"/>
        <v>0</v>
      </c>
      <c r="AA8" s="84">
        <f>Таблица24[[#This Row],[Колона24]]+Таблица24[[#This Row],[Колона26]]</f>
        <v>1436</v>
      </c>
      <c r="AB8" s="147">
        <f>Таблица24[[#This Row],[Колона22]]+Таблица24[[#This Row],[Колона27]]</f>
        <v>336213.74338696775</v>
      </c>
      <c r="AC8" s="107">
        <v>4807.9021290322416</v>
      </c>
      <c r="AD8" s="98">
        <f>-Таблица24[[#This Row],[Колона232]]*30%</f>
        <v>-1442.3706387096724</v>
      </c>
      <c r="AE8" s="98">
        <f>Таблица24[[#This Row],[Колона232]]+Таблица24[[#This Row],[Колона242]]</f>
        <v>3365.531490322569</v>
      </c>
      <c r="AF8" s="98">
        <f>(AE10+AE13+AE7+AE6+AE5+AE9+AE8)/7</f>
        <v>1869.697529953906</v>
      </c>
      <c r="AG8" s="98">
        <f>Таблица24[[#This Row],[Колона28]]+Таблица24[[#This Row],[Колона242]]</f>
        <v>334771.37274825806</v>
      </c>
    </row>
    <row r="9" spans="1:33" ht="15.75" x14ac:dyDescent="0.25">
      <c r="A9" s="87" t="s">
        <v>11</v>
      </c>
      <c r="B9" s="92">
        <v>20680</v>
      </c>
      <c r="C9" s="90">
        <v>4</v>
      </c>
      <c r="D9" s="71">
        <f t="shared" si="6"/>
        <v>16535.72</v>
      </c>
      <c r="E9" s="80">
        <v>0</v>
      </c>
      <c r="F9" s="76">
        <f t="shared" si="0"/>
        <v>0</v>
      </c>
      <c r="G9" s="80">
        <v>57</v>
      </c>
      <c r="H9" s="76">
        <f t="shared" si="1"/>
        <v>123475.11</v>
      </c>
      <c r="I9" s="100">
        <f>I2/3</f>
        <v>2126.5157833333333</v>
      </c>
      <c r="J9" s="105">
        <f>$J$2/Таблица24[[#Totals],[Колона7]]*Таблица24[[#This Row],[Колона7]]</f>
        <v>122857.73445</v>
      </c>
      <c r="K9" s="113">
        <f>Таблица24[[#This Row],[Колона9]]+Таблица24[[#This Row],[Колона10]]</f>
        <v>124984.25023333334</v>
      </c>
      <c r="L9" s="80">
        <v>66</v>
      </c>
      <c r="M9" s="71">
        <f t="shared" si="7"/>
        <v>127616.28</v>
      </c>
      <c r="N9" s="80">
        <f>N2/3</f>
        <v>2194.6133</v>
      </c>
      <c r="O9" s="128">
        <f>$O$2/Таблица24[[#Totals],[Колона12]]*Таблица24[[#This Row],[Колона12]]</f>
        <v>126978.1986</v>
      </c>
      <c r="P9" s="76">
        <f>Таблица24[[#This Row],[Колона14]]+Таблица24[[#This Row],[Колона15]]</f>
        <v>129172.8119</v>
      </c>
      <c r="Q9" s="114">
        <f>Таблица24[[#This Row],[Колона2]]+Таблица24[[#This Row],[Колона4]]+Таблица24[[#This Row],[Колона6]]+Таблица24[[#This Row],[Колона11]]+Таблица24[[#This Row],[Колона16]]</f>
        <v>291372.78213333338</v>
      </c>
      <c r="R9" s="107">
        <v>922.69423922583542</v>
      </c>
      <c r="S9" s="107">
        <f>Таблица24[[#This Row],[Колона17]]+Таблица24[[#This Row],[Колона18]]</f>
        <v>292295.47637255921</v>
      </c>
      <c r="T9" s="72">
        <v>57</v>
      </c>
      <c r="U9" s="77">
        <f t="shared" si="2"/>
        <v>4104</v>
      </c>
      <c r="V9" s="95">
        <f>Таблица24[[#This Row],[Колона19]]+Таблица24[[#This Row],[Колона21]]</f>
        <v>296399.47637255921</v>
      </c>
      <c r="W9" s="72">
        <v>6</v>
      </c>
      <c r="X9" s="68">
        <f t="shared" si="3"/>
        <v>2154</v>
      </c>
      <c r="Y9" s="75">
        <v>0</v>
      </c>
      <c r="Z9" s="77">
        <f t="shared" si="4"/>
        <v>0</v>
      </c>
      <c r="AA9" s="84">
        <f>Таблица24[[#This Row],[Колона24]]+Таблица24[[#This Row],[Колона26]]</f>
        <v>2154</v>
      </c>
      <c r="AB9" s="147">
        <f>Таблица24[[#This Row],[Колона22]]+Таблица24[[#This Row],[Колона27]]</f>
        <v>298553.47637255921</v>
      </c>
      <c r="AC9" s="107">
        <v>780.94309677416459</v>
      </c>
      <c r="AD9" s="98">
        <f>-Таблица24[[#This Row],[Колона232]]*30%</f>
        <v>-234.28292903224937</v>
      </c>
      <c r="AE9" s="98">
        <f>Таблица24[[#This Row],[Колона232]]+Таблица24[[#This Row],[Колона242]]</f>
        <v>546.66016774191519</v>
      </c>
      <c r="AF9" s="98">
        <f>(AE7+AE8+AE13+AE10+AE9+AE6+AE5)/7</f>
        <v>1869.6975299539063</v>
      </c>
      <c r="AG9" s="98">
        <f>Таблица24[[#This Row],[Колона28]]+Таблица24[[#This Row],[Колона242]]</f>
        <v>298319.19344352698</v>
      </c>
    </row>
    <row r="10" spans="1:33" ht="15.75" x14ac:dyDescent="0.25">
      <c r="A10" s="87" t="s">
        <v>12</v>
      </c>
      <c r="B10" s="92">
        <v>20680</v>
      </c>
      <c r="C10" s="90">
        <v>8</v>
      </c>
      <c r="D10" s="71">
        <f t="shared" si="6"/>
        <v>33071.440000000002</v>
      </c>
      <c r="E10" s="80">
        <v>0</v>
      </c>
      <c r="F10" s="76">
        <f t="shared" si="0"/>
        <v>0</v>
      </c>
      <c r="G10" s="80">
        <v>99</v>
      </c>
      <c r="H10" s="76">
        <f t="shared" si="1"/>
        <v>214456.77</v>
      </c>
      <c r="I10" s="100">
        <f>I2/3</f>
        <v>2126.5157833333333</v>
      </c>
      <c r="J10" s="105">
        <f>$J$2/Таблица24[[#Totals],[Колона7]]*Таблица24[[#This Row],[Колона7]]</f>
        <v>213384.48615000001</v>
      </c>
      <c r="K10" s="113">
        <f>Таблица24[[#This Row],[Колона9]]+Таблица24[[#This Row],[Колона10]]</f>
        <v>215511.00193333335</v>
      </c>
      <c r="L10" s="80">
        <v>121</v>
      </c>
      <c r="M10" s="71">
        <f t="shared" si="7"/>
        <v>233963.18</v>
      </c>
      <c r="N10" s="80">
        <f>N2/3</f>
        <v>2194.6133</v>
      </c>
      <c r="O10" s="128">
        <f>$O$2/Таблица24[[#Totals],[Колона12]]*Таблица24[[#This Row],[Колона12]]</f>
        <v>232793.36410000001</v>
      </c>
      <c r="P10" s="76">
        <f>Таблица24[[#This Row],[Колона14]]+Таблица24[[#This Row],[Колона15]]</f>
        <v>234987.9774</v>
      </c>
      <c r="Q10" s="114">
        <f>Таблица24[[#This Row],[Колона2]]+Таблица24[[#This Row],[Колона4]]+Таблица24[[#This Row],[Колона6]]+Таблица24[[#This Row],[Колона11]]+Таблица24[[#This Row],[Колона16]]</f>
        <v>504250.41933333338</v>
      </c>
      <c r="R10" s="107">
        <v>255.39036012904307</v>
      </c>
      <c r="S10" s="107">
        <f>Таблица24[[#This Row],[Колона17]]+Таблица24[[#This Row],[Колона18]]</f>
        <v>504505.80969346245</v>
      </c>
      <c r="T10" s="72">
        <v>99</v>
      </c>
      <c r="U10" s="77">
        <f t="shared" si="2"/>
        <v>7128</v>
      </c>
      <c r="V10" s="95">
        <f>Таблица24[[#This Row],[Колона19]]+Таблица24[[#This Row],[Колона21]]</f>
        <v>511633.80969346245</v>
      </c>
      <c r="W10" s="72">
        <v>10</v>
      </c>
      <c r="X10" s="68">
        <f t="shared" si="3"/>
        <v>3590</v>
      </c>
      <c r="Y10" s="75">
        <v>10</v>
      </c>
      <c r="Z10" s="77">
        <f t="shared" si="4"/>
        <v>24760</v>
      </c>
      <c r="AA10" s="84">
        <f>Таблица24[[#This Row],[Колона24]]+Таблица24[[#This Row],[Колона26]]</f>
        <v>28350</v>
      </c>
      <c r="AB10" s="147">
        <f>Таблица24[[#This Row],[Колона22]]+Таблица24[[#This Row],[Колона27]]</f>
        <v>539983.80969346245</v>
      </c>
      <c r="AC10" s="107">
        <v>2708.909483870957</v>
      </c>
      <c r="AD10" s="98">
        <f>-Таблица24[[#This Row],[Колона232]]*30%</f>
        <v>-812.67284516128711</v>
      </c>
      <c r="AE10" s="98">
        <f>Таблица24[[#This Row],[Колона232]]+Таблица24[[#This Row],[Колона242]]</f>
        <v>1896.2366387096699</v>
      </c>
      <c r="AF10" s="98">
        <f>(AE8+AE13+AE7+AE6+AE5+AE9+AE10)/7</f>
        <v>1869.697529953906</v>
      </c>
      <c r="AG10" s="98">
        <f>Таблица24[[#This Row],[Колона28]]+Таблица24[[#This Row],[Колона242]]</f>
        <v>539171.13684830116</v>
      </c>
    </row>
    <row r="11" spans="1:33" ht="19.5" customHeight="1" x14ac:dyDescent="0.25">
      <c r="A11" s="87" t="s">
        <v>34</v>
      </c>
      <c r="B11" s="92">
        <v>20680</v>
      </c>
      <c r="C11" s="90">
        <v>2</v>
      </c>
      <c r="D11" s="71">
        <f t="shared" si="6"/>
        <v>8267.86</v>
      </c>
      <c r="E11" s="80">
        <v>0</v>
      </c>
      <c r="F11" s="76">
        <f t="shared" si="0"/>
        <v>0</v>
      </c>
      <c r="G11" s="80">
        <v>20</v>
      </c>
      <c r="H11" s="76">
        <f t="shared" si="1"/>
        <v>43324.6</v>
      </c>
      <c r="I11" s="100"/>
      <c r="J11" s="105">
        <f>$J$2/Таблица24[[#Totals],[Колона7]]*Таблица24[[#This Row],[Колона7]]</f>
        <v>43107.976999999999</v>
      </c>
      <c r="K11" s="113">
        <f>Таблица24[[#This Row],[Колона9]]+Таблица24[[#This Row],[Колона10]]</f>
        <v>43107.976999999999</v>
      </c>
      <c r="L11" s="80">
        <v>21</v>
      </c>
      <c r="M11" s="71">
        <f t="shared" si="7"/>
        <v>40605.18</v>
      </c>
      <c r="N11" s="80"/>
      <c r="O11" s="128">
        <f>$O$2/Таблица24[[#Totals],[Колона12]]*Таблица24[[#This Row],[Колона12]]</f>
        <v>40402.1541</v>
      </c>
      <c r="P11" s="76">
        <f>Таблица24[[#This Row],[Колона14]]+Таблица24[[#This Row],[Колона15]]</f>
        <v>40402.1541</v>
      </c>
      <c r="Q11" s="114">
        <f>Таблица24[[#This Row],[Колона2]]+Таблица24[[#This Row],[Колона4]]+Таблица24[[#This Row],[Колона6]]+Таблица24[[#This Row],[Колона11]]+Таблица24[[#This Row],[Колона16]]</f>
        <v>112457.9911</v>
      </c>
      <c r="R11" s="107">
        <v>-2351.2107268032323</v>
      </c>
      <c r="S11" s="107">
        <f>Таблица24[[#This Row],[Колона17]]+Таблица24[[#This Row],[Колона18]]</f>
        <v>110106.78037319677</v>
      </c>
      <c r="T11" s="72">
        <v>20</v>
      </c>
      <c r="U11" s="77">
        <f t="shared" si="2"/>
        <v>1440</v>
      </c>
      <c r="V11" s="95">
        <f>Таблица24[[#This Row],[Колона19]]+Таблица24[[#This Row],[Колона21]]</f>
        <v>111546.78037319677</v>
      </c>
      <c r="W11" s="72">
        <v>0</v>
      </c>
      <c r="X11" s="68">
        <f t="shared" si="3"/>
        <v>0</v>
      </c>
      <c r="Y11" s="75">
        <v>0</v>
      </c>
      <c r="Z11" s="77">
        <f t="shared" si="4"/>
        <v>0</v>
      </c>
      <c r="AA11" s="84">
        <f>Таблица24[[#This Row],[Колона24]]+Таблица24[[#This Row],[Колона26]]</f>
        <v>0</v>
      </c>
      <c r="AB11" s="147">
        <f>Таблица24[[#This Row],[Колона22]]+Таблица24[[#This Row],[Колона27]]</f>
        <v>111546.78037319677</v>
      </c>
      <c r="AC11" s="107">
        <v>4317.7256129032321</v>
      </c>
      <c r="AD11" s="98">
        <f>-Таблица24[[#This Row],[Колона232]]*30%</f>
        <v>-1295.3176838709696</v>
      </c>
      <c r="AE11" s="98">
        <f>Таблица24[[#This Row],[Колона232]]+Таблица24[[#This Row],[Колона242]]</f>
        <v>3022.4079290322625</v>
      </c>
      <c r="AF11" s="98">
        <v>3022</v>
      </c>
      <c r="AG11" s="98">
        <f>Таблица24[[#This Row],[Колона28]]+Таблица24[[#This Row],[Колона242]]</f>
        <v>110251.4626893258</v>
      </c>
    </row>
    <row r="12" spans="1:33" ht="15.75" x14ac:dyDescent="0.25">
      <c r="A12" s="87" t="s">
        <v>35</v>
      </c>
      <c r="B12" s="92">
        <v>20680</v>
      </c>
      <c r="C12" s="90">
        <v>6</v>
      </c>
      <c r="D12" s="71">
        <f t="shared" si="6"/>
        <v>24803.58</v>
      </c>
      <c r="E12" s="80">
        <v>13</v>
      </c>
      <c r="F12" s="76">
        <f t="shared" si="0"/>
        <v>15713.698</v>
      </c>
      <c r="G12" s="80">
        <v>65</v>
      </c>
      <c r="H12" s="76">
        <f t="shared" si="1"/>
        <v>140804.95000000001</v>
      </c>
      <c r="I12" s="100"/>
      <c r="J12" s="105">
        <f>$J$2/Таблица24[[#Totals],[Колона7]]*Таблица24[[#This Row],[Колона7]]</f>
        <v>140100.92525</v>
      </c>
      <c r="K12" s="113">
        <f>Таблица24[[#This Row],[Колона9]]+Таблица24[[#This Row],[Колона10]]</f>
        <v>140100.92525</v>
      </c>
      <c r="L12" s="80">
        <v>56</v>
      </c>
      <c r="M12" s="71">
        <f t="shared" si="7"/>
        <v>108280.48</v>
      </c>
      <c r="N12" s="80"/>
      <c r="O12" s="128">
        <f>$O$2/Таблица24[[#Totals],[Колона12]]*Таблица24[[#This Row],[Колона12]]</f>
        <v>107739.0776</v>
      </c>
      <c r="P12" s="76">
        <f>Таблица24[[#This Row],[Колона14]]+Таблица24[[#This Row],[Колона15]]</f>
        <v>107739.0776</v>
      </c>
      <c r="Q12" s="114">
        <f>Таблица24[[#This Row],[Колона2]]+Таблица24[[#This Row],[Колона4]]+Таблица24[[#This Row],[Колона6]]+Таблица24[[#This Row],[Колона11]]+Таблица24[[#This Row],[Колона16]]</f>
        <v>309037.28085000004</v>
      </c>
      <c r="R12" s="107">
        <v>-4004.5936863354946</v>
      </c>
      <c r="S12" s="107">
        <f>Таблица24[[#This Row],[Колона17]]+Таблица24[[#This Row],[Колона18]]</f>
        <v>305032.68716366455</v>
      </c>
      <c r="T12" s="72">
        <v>65</v>
      </c>
      <c r="U12" s="77">
        <f t="shared" si="2"/>
        <v>4680</v>
      </c>
      <c r="V12" s="95">
        <f>Таблица24[[#This Row],[Колона19]]+Таблица24[[#This Row],[Колона21]]</f>
        <v>309712.68716366455</v>
      </c>
      <c r="W12" s="72">
        <v>3</v>
      </c>
      <c r="X12" s="68">
        <f t="shared" si="3"/>
        <v>1077</v>
      </c>
      <c r="Y12" s="75">
        <v>0</v>
      </c>
      <c r="Z12" s="77">
        <f t="shared" si="4"/>
        <v>0</v>
      </c>
      <c r="AA12" s="84">
        <f>Таблица24[[#This Row],[Колона24]]+Таблица24[[#This Row],[Колона26]]</f>
        <v>1077</v>
      </c>
      <c r="AB12" s="147">
        <f>Таблица24[[#This Row],[Колона22]]+Таблица24[[#This Row],[Колона27]]</f>
        <v>310789.68716366455</v>
      </c>
      <c r="AC12" s="107">
        <v>9389.8717419354944</v>
      </c>
      <c r="AD12" s="98">
        <f>-Таблица24[[#This Row],[Колона232]]*30%</f>
        <v>-2816.9615225806483</v>
      </c>
      <c r="AE12" s="98">
        <f>Таблица24[[#This Row],[Колона232]]+Таблица24[[#This Row],[Колона242]]</f>
        <v>6572.910219354846</v>
      </c>
      <c r="AF12" s="98">
        <v>6573</v>
      </c>
      <c r="AG12" s="98">
        <f>Таблица24[[#This Row],[Колона28]]+Таблица24[[#This Row],[Колона242]]</f>
        <v>307972.7256410839</v>
      </c>
    </row>
    <row r="13" spans="1:33" ht="15.75" x14ac:dyDescent="0.25">
      <c r="A13" s="88" t="s">
        <v>36</v>
      </c>
      <c r="B13" s="92">
        <v>20680</v>
      </c>
      <c r="C13" s="73">
        <v>4</v>
      </c>
      <c r="D13" s="71">
        <f t="shared" si="6"/>
        <v>16535.72</v>
      </c>
      <c r="E13" s="78">
        <v>0</v>
      </c>
      <c r="F13" s="79">
        <f t="shared" si="0"/>
        <v>0</v>
      </c>
      <c r="G13" s="78">
        <v>40</v>
      </c>
      <c r="H13" s="79">
        <f t="shared" si="1"/>
        <v>86649.2</v>
      </c>
      <c r="I13" s="85"/>
      <c r="J13" s="96">
        <f>$J$2/Таблица24[[#Totals],[Колона7]]*Таблица24[[#This Row],[Колона7]]</f>
        <v>86215.953999999998</v>
      </c>
      <c r="K13" s="115">
        <f>Таблица24[[#This Row],[Колона9]]+Таблица24[[#This Row],[Колона10]]</f>
        <v>86215.953999999998</v>
      </c>
      <c r="L13" s="78">
        <v>65</v>
      </c>
      <c r="M13" s="69">
        <f t="shared" si="7"/>
        <v>125682.7</v>
      </c>
      <c r="N13" s="75"/>
      <c r="O13" s="106">
        <f>$O$2/Таблица24[[#Totals],[Колона12]]*Таблица24[[#This Row],[Колона12]]</f>
        <v>125054.2865</v>
      </c>
      <c r="P13" s="77">
        <f>Таблица24[[#This Row],[Колона14]]+Таблица24[[#This Row],[Колона15]]</f>
        <v>125054.2865</v>
      </c>
      <c r="Q13" s="115">
        <f>Таблица24[[#This Row],[Колона2]]+Таблица24[[#This Row],[Колона4]]+Таблица24[[#This Row],[Колона6]]+Таблица24[[#This Row],[Колона11]]+Таблица24[[#This Row],[Колона16]]</f>
        <v>248485.96049999999</v>
      </c>
      <c r="R13" s="107">
        <v>439.2465061935427</v>
      </c>
      <c r="S13" s="107">
        <f>Таблица24[[#This Row],[Колона17]]+Таблица24[[#This Row],[Колона18]]</f>
        <v>248925.20700619352</v>
      </c>
      <c r="T13" s="73">
        <v>40</v>
      </c>
      <c r="U13" s="79">
        <f t="shared" si="2"/>
        <v>2880</v>
      </c>
      <c r="V13" s="96">
        <f>Таблица24[[#This Row],[Колона19]]+Таблица24[[#This Row],[Колона21]]</f>
        <v>251805.20700619352</v>
      </c>
      <c r="W13" s="73">
        <v>0</v>
      </c>
      <c r="X13" s="69">
        <f t="shared" si="3"/>
        <v>0</v>
      </c>
      <c r="Y13" s="78">
        <v>0</v>
      </c>
      <c r="Z13" s="79">
        <f t="shared" si="4"/>
        <v>0</v>
      </c>
      <c r="AA13" s="85">
        <f>Таблица24[[#This Row],[Колона24]]+Таблица24[[#This Row],[Колона26]]</f>
        <v>0</v>
      </c>
      <c r="AB13" s="147">
        <f>Таблица24[[#This Row],[Колона22]]+Таблица24[[#This Row],[Колона27]]</f>
        <v>251805.20700619352</v>
      </c>
      <c r="AC13" s="107">
        <v>1031.5252258064575</v>
      </c>
      <c r="AD13" s="98">
        <f>-Таблица24[[#This Row],[Колона232]]*30%</f>
        <v>-309.45756774193723</v>
      </c>
      <c r="AE13" s="98">
        <f>Таблица24[[#This Row],[Колона232]]+Таблица24[[#This Row],[Колона242]]</f>
        <v>722.06765806452017</v>
      </c>
      <c r="AF13" s="98">
        <f>(AE9+AE8+AE7+AE6+AE5+AE10+AE13)/7</f>
        <v>1869.697529953906</v>
      </c>
      <c r="AG13" s="98">
        <f>Таблица24[[#This Row],[Колона28]]+Таблица24[[#This Row],[Колона242]]</f>
        <v>251495.74943845157</v>
      </c>
    </row>
    <row r="14" spans="1:33" ht="16.5" thickBot="1" x14ac:dyDescent="0.25">
      <c r="A14" s="88" t="s">
        <v>37</v>
      </c>
      <c r="B14" s="148">
        <f>SUBTOTAL(109,Таблица24[Колона2])</f>
        <v>186120</v>
      </c>
      <c r="C14" s="118">
        <f>SUBTOTAL(109,Таблица24[Колона3])</f>
        <v>47</v>
      </c>
      <c r="D14" s="119">
        <f>SUBTOTAL(109,Таблица24[Колона4])</f>
        <v>194294.71000000005</v>
      </c>
      <c r="E14" s="149">
        <f>SUBTOTAL(109,Таблица24[Колона5])</f>
        <v>40</v>
      </c>
      <c r="F14" s="150">
        <f>SUBTOTAL(109,Таблица24[Колона6])</f>
        <v>48349.840000000004</v>
      </c>
      <c r="G14" s="149">
        <f>SUBTOTAL(109,Таблица24[Колона7])</f>
        <v>589</v>
      </c>
      <c r="H14" s="150">
        <f>SUBTOTAL(109,Таблица24[Колона8])</f>
        <v>1275909.47</v>
      </c>
      <c r="I14" s="119">
        <f>SUBTOTAL(109,Таблица24[Колона9])</f>
        <v>6379.5473499999998</v>
      </c>
      <c r="J14" s="148">
        <f>SUBTOTAL(109,Таблица24[Колона10])</f>
        <v>1269529.9226499998</v>
      </c>
      <c r="K14" s="148">
        <f>SUBTOTAL(109,Таблица24[Колона11])</f>
        <v>1275909.47</v>
      </c>
      <c r="L14" s="149">
        <f>SUBTOTAL(109,Таблица24[Колона12])</f>
        <v>681</v>
      </c>
      <c r="M14" s="119">
        <f>SUBTOTAL(109,Таблица24[Колона13])</f>
        <v>1316767.98</v>
      </c>
      <c r="N14" s="149">
        <f>SUBTOTAL(109,Таблица24[Колона14])</f>
        <v>6583.8398999999999</v>
      </c>
      <c r="O14" s="151">
        <f>SUBTOTAL(109,Таблица24[Колона15])</f>
        <v>1310184.1401</v>
      </c>
      <c r="P14" s="150">
        <f>SUBTOTAL(109,Таблица24[Колона16])</f>
        <v>1316767.9799999997</v>
      </c>
      <c r="Q14" s="152">
        <f>SUBTOTAL(109,Таблица24[Колона17])</f>
        <v>3021442.0000000005</v>
      </c>
      <c r="R14" s="153">
        <f>SUBTOTAL(109,Таблица24[Колона18])</f>
        <v>-0.20964591287975054</v>
      </c>
      <c r="S14" s="154">
        <f>SUBTOTAL(109,Таблица24[Колона19])</f>
        <v>3021441.790354087</v>
      </c>
      <c r="T14" s="118">
        <f>SUBTOTAL(109,Таблица24[Колона20])</f>
        <v>589</v>
      </c>
      <c r="U14" s="150">
        <f>SUBTOTAL(109,Таблица24[Колона21])</f>
        <v>42408</v>
      </c>
      <c r="V14" s="148">
        <f>SUBTOTAL(109,Таблица24[Колона22])</f>
        <v>3063849.790354087</v>
      </c>
      <c r="W14" s="118">
        <f>SUBTOTAL(109,Таблица24[Колона23])</f>
        <v>39</v>
      </c>
      <c r="X14" s="119">
        <f>SUBTOTAL(109,Таблица24[Колона24])</f>
        <v>14001</v>
      </c>
      <c r="Y14" s="149">
        <f>SUBTOTAL(109,Таблица24[Колона25])</f>
        <v>15</v>
      </c>
      <c r="Z14" s="150">
        <f>SUBTOTAL(109,Таблица24[Колона26])</f>
        <v>37140</v>
      </c>
      <c r="AA14" s="122">
        <f>SUBTOTAL(109,Таблица24[Колона27])</f>
        <v>51141</v>
      </c>
      <c r="AB14" s="155">
        <f>SUBTOTAL(109,Таблица24[Колона28])</f>
        <v>3114990.790354087</v>
      </c>
      <c r="AC14" s="107">
        <f>SUBTOTAL(109,Таблица24[Колона232])</f>
        <v>22683.175999999905</v>
      </c>
      <c r="AD14" s="109">
        <f>SUBTOTAL(109,Таблица24[Колона242])</f>
        <v>2.4858064545526304E-2</v>
      </c>
      <c r="AE14" s="109">
        <f>SUBTOTAL(109,Таблица24[Колона253])</f>
        <v>22683.200858064451</v>
      </c>
      <c r="AF14" s="108"/>
      <c r="AG14" s="109">
        <f>SUBTOTAL(109,Таблица24[бюджет 20185])</f>
        <v>3111137.4074057001</v>
      </c>
    </row>
    <row r="15" spans="1:33" ht="15.75" thickBot="1" x14ac:dyDescent="0.3">
      <c r="A15" s="158" t="s">
        <v>95</v>
      </c>
      <c r="B15" s="159">
        <v>0</v>
      </c>
      <c r="C15" s="159">
        <v>0</v>
      </c>
      <c r="D15" s="159">
        <v>0</v>
      </c>
      <c r="E15" s="159">
        <f>E16-Таблица24[[#Totals],[Колона5]]</f>
        <v>-3</v>
      </c>
      <c r="F15" s="160">
        <f>F16-Таблица24[[#Totals],[Колона6]]</f>
        <v>-3626.2379999999976</v>
      </c>
      <c r="G15" s="159">
        <f>G16-Таблица24[[#Totals],[Колона7]]</f>
        <v>-1</v>
      </c>
      <c r="H15" s="160">
        <f>H16-Таблица24[[#Totals],[Колона8]]</f>
        <v>-2166.2299999999814</v>
      </c>
      <c r="I15" s="159"/>
      <c r="J15" s="159"/>
      <c r="K15" s="159"/>
      <c r="L15" s="159">
        <f>L16-Таблица24[[#Totals],[Колона12]]</f>
        <v>-7</v>
      </c>
      <c r="M15" s="160">
        <f>M16-Таблица24[[#Totals],[Колона13]]</f>
        <v>-13535.060000000056</v>
      </c>
      <c r="N15" s="159"/>
      <c r="O15" s="159"/>
      <c r="P15" s="159"/>
      <c r="Q15" s="159"/>
      <c r="R15" s="159"/>
      <c r="S15" s="159"/>
      <c r="T15" s="159">
        <f>T16-Таблица24[[#Totals],[Колона20]]</f>
        <v>-1</v>
      </c>
      <c r="U15" s="159">
        <f>U16-Таблица24[[#Totals],[Колона21]]</f>
        <v>-72</v>
      </c>
      <c r="V15" s="161">
        <f>V16-Таблица24[[#Totals],[Колона22]]</f>
        <v>-19399.028354086913</v>
      </c>
      <c r="W15" s="159">
        <f>W16-Таблица24[[#Totals],[Колона23]]</f>
        <v>-6</v>
      </c>
      <c r="X15" s="159">
        <f>X16-Таблица24[[#Totals],[Колона24]]</f>
        <v>-2154</v>
      </c>
      <c r="Y15" s="159">
        <f>Y16-Таблица24[[#Totals],[Колона25]]</f>
        <v>-10</v>
      </c>
      <c r="Z15" s="159">
        <f>Z16-Таблица24[[#Totals],[Колона26]]</f>
        <v>-24760</v>
      </c>
      <c r="AA15" s="161">
        <f>AA16-Таблица24[[#Totals],[Колона27]]</f>
        <v>-26914</v>
      </c>
      <c r="AB15" s="162">
        <f>AB16-Таблица24[[#Totals],[Колона28]]</f>
        <v>-46313.028354086913</v>
      </c>
    </row>
    <row r="16" spans="1:33" x14ac:dyDescent="0.2">
      <c r="A16" s="156"/>
      <c r="B16" s="156">
        <v>186120</v>
      </c>
      <c r="C16" s="156">
        <v>47</v>
      </c>
      <c r="D16" s="156">
        <v>194295</v>
      </c>
      <c r="E16" s="156">
        <v>37</v>
      </c>
      <c r="F16" s="157">
        <f>E16*F3</f>
        <v>44723.602000000006</v>
      </c>
      <c r="G16" s="156">
        <v>588</v>
      </c>
      <c r="H16" s="157">
        <f>G16*H3</f>
        <v>1273743.24</v>
      </c>
      <c r="I16" s="156"/>
      <c r="J16" s="156"/>
      <c r="K16" s="156"/>
      <c r="L16" s="156">
        <v>674</v>
      </c>
      <c r="M16" s="157">
        <f>L16*M3</f>
        <v>1303232.92</v>
      </c>
      <c r="N16" s="156"/>
      <c r="O16" s="156"/>
      <c r="P16" s="156"/>
      <c r="Q16" s="156"/>
      <c r="R16" s="156"/>
      <c r="S16" s="156"/>
      <c r="T16" s="156">
        <v>588</v>
      </c>
      <c r="U16" s="156">
        <f>T16*U3</f>
        <v>42336</v>
      </c>
      <c r="V16" s="157">
        <f>B16+D16+F16+H16+M16+U16</f>
        <v>3044450.7620000001</v>
      </c>
      <c r="W16" s="156">
        <v>33</v>
      </c>
      <c r="X16" s="156">
        <f>W16*X3</f>
        <v>11847</v>
      </c>
      <c r="Y16" s="156">
        <v>5</v>
      </c>
      <c r="Z16" s="156">
        <f>Y16*Z3</f>
        <v>12380</v>
      </c>
      <c r="AA16" s="156">
        <f>X16+Z16</f>
        <v>24227</v>
      </c>
      <c r="AB16" s="157">
        <f>AA16+V16</f>
        <v>3068677.7620000001</v>
      </c>
    </row>
    <row r="17" spans="22:27" x14ac:dyDescent="0.2">
      <c r="V17" s="98"/>
    </row>
    <row r="18" spans="22:27" x14ac:dyDescent="0.2">
      <c r="V18" s="98"/>
    </row>
    <row r="19" spans="22:27" x14ac:dyDescent="0.2">
      <c r="AA19" s="98"/>
    </row>
  </sheetData>
  <mergeCells count="11">
    <mergeCell ref="B1:S1"/>
    <mergeCell ref="T1:U1"/>
    <mergeCell ref="T2:U2"/>
    <mergeCell ref="W2:X2"/>
    <mergeCell ref="Y2:Z2"/>
    <mergeCell ref="L2:M2"/>
    <mergeCell ref="A2:A3"/>
    <mergeCell ref="B2:B3"/>
    <mergeCell ref="C2:D2"/>
    <mergeCell ref="E2:F2"/>
    <mergeCell ref="G2:H2"/>
  </mergeCells>
  <phoneticPr fontId="0" type="noConversion"/>
  <pageMargins left="0.14000000000000001" right="0.14000000000000001" top="1" bottom="1" header="0" footer="0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2017</vt:lpstr>
      <vt:lpstr>2018</vt:lpstr>
      <vt:lpstr>Приложение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Windows User</cp:lastModifiedBy>
  <cp:lastPrinted>2018-03-08T08:07:46Z</cp:lastPrinted>
  <dcterms:created xsi:type="dcterms:W3CDTF">2017-02-16T15:56:30Z</dcterms:created>
  <dcterms:modified xsi:type="dcterms:W3CDTF">2018-03-08T09:49:38Z</dcterms:modified>
</cp:coreProperties>
</file>