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 firstSheet="4" activeTab="4"/>
  </bookViews>
  <sheets>
    <sheet name="Sheet2" sheetId="2" state="hidden" r:id="rId1"/>
    <sheet name="гориво_бр. деца" sheetId="3" state="hidden" r:id="rId2"/>
    <sheet name="бр. деца" sheetId="4" state="hidden" r:id="rId3"/>
    <sheet name="малко нас. място" sheetId="6" state="hidden" r:id="rId4"/>
    <sheet name="Приложение 4" sheetId="8" r:id="rId5"/>
    <sheet name="324" sheetId="10" state="hidden" r:id="rId6"/>
  </sheets>
  <calcPr calcId="144525"/>
</workbook>
</file>

<file path=xl/calcChain.xml><?xml version="1.0" encoding="utf-8"?>
<calcChain xmlns="http://schemas.openxmlformats.org/spreadsheetml/2006/main">
  <c r="C12" i="8" l="1"/>
  <c r="I6" i="8" l="1"/>
  <c r="N7" i="10" l="1"/>
  <c r="Q7" i="10" s="1"/>
  <c r="K6" i="10"/>
  <c r="H7" i="10"/>
  <c r="F2" i="10"/>
  <c r="D2" i="10"/>
  <c r="B4" i="10"/>
  <c r="J7" i="10"/>
  <c r="F7" i="10"/>
  <c r="L7" i="10" s="1"/>
  <c r="S7" i="10" l="1"/>
  <c r="H22" i="8"/>
  <c r="H23" i="8" s="1"/>
  <c r="D18" i="8"/>
  <c r="F18" i="8"/>
  <c r="B20" i="8"/>
  <c r="B22" i="8" s="1"/>
  <c r="D21" i="8"/>
  <c r="C22" i="8"/>
  <c r="C23" i="8" s="1"/>
  <c r="E22" i="8"/>
  <c r="E23" i="8" s="1"/>
  <c r="F20" i="8" l="1"/>
  <c r="F24" i="8"/>
  <c r="D20" i="8"/>
  <c r="G20" i="8" s="1"/>
  <c r="I20" i="8" s="1"/>
  <c r="D24" i="8"/>
  <c r="F21" i="8"/>
  <c r="F22" i="8" s="1"/>
  <c r="F23" i="8" s="1"/>
  <c r="D2" i="8"/>
  <c r="D4" i="8" s="1"/>
  <c r="F2" i="8"/>
  <c r="B4" i="8"/>
  <c r="G24" i="8" l="1"/>
  <c r="I24" i="8" s="1"/>
  <c r="D22" i="8"/>
  <c r="D23" i="8" s="1"/>
  <c r="F4" i="8"/>
  <c r="G4" i="8" s="1"/>
  <c r="H4" i="8" s="1"/>
  <c r="F5" i="8"/>
  <c r="G21" i="8"/>
  <c r="I21" i="8" s="1"/>
  <c r="I22" i="8" s="1"/>
  <c r="G22" i="8"/>
  <c r="G23" i="8" s="1"/>
  <c r="I23" i="8" s="1"/>
  <c r="D5" i="8"/>
  <c r="G5" i="8" l="1"/>
  <c r="G6" i="8" l="1"/>
  <c r="R5" i="10" l="1"/>
  <c r="O5" i="10"/>
  <c r="O6" i="10" s="1"/>
  <c r="P4" i="10"/>
  <c r="P5" i="10" s="1"/>
  <c r="P6" i="10" s="1"/>
  <c r="M5" i="10"/>
  <c r="M6" i="10" s="1"/>
  <c r="I5" i="10"/>
  <c r="I6" i="10" s="1"/>
  <c r="G5" i="10"/>
  <c r="G6" i="10" s="1"/>
  <c r="E5" i="10"/>
  <c r="E6" i="10" s="1"/>
  <c r="C5" i="10"/>
  <c r="B5" i="10"/>
  <c r="N4" i="10"/>
  <c r="J4" i="10"/>
  <c r="J5" i="10" s="1"/>
  <c r="J6" i="10" s="1"/>
  <c r="H4" i="10"/>
  <c r="H5" i="10" s="1"/>
  <c r="H6" i="10" s="1"/>
  <c r="F4" i="10"/>
  <c r="F5" i="10" s="1"/>
  <c r="F6" i="10" s="1"/>
  <c r="D4" i="10"/>
  <c r="L4" i="10" l="1"/>
  <c r="N5" i="10"/>
  <c r="N6" i="10" s="1"/>
  <c r="Q4" i="10"/>
  <c r="Q5" i="10" s="1"/>
  <c r="Q6" i="10" s="1"/>
  <c r="D5" i="10"/>
  <c r="S4" i="10" l="1"/>
  <c r="S5" i="10" s="1"/>
  <c r="S6" i="10" s="1"/>
  <c r="L5" i="10"/>
  <c r="L6" i="10" s="1"/>
  <c r="B14" i="8" l="1"/>
  <c r="B6" i="8"/>
  <c r="C6" i="8"/>
  <c r="E6" i="8"/>
  <c r="H6" i="8" l="1"/>
  <c r="C13" i="8"/>
  <c r="H5" i="8" s="1"/>
  <c r="F6" i="8" l="1"/>
  <c r="D6" i="8"/>
  <c r="C14" i="8"/>
  <c r="AK10" i="3" l="1"/>
  <c r="AJ10" i="4" s="1"/>
  <c r="AF9" i="6" s="1"/>
  <c r="AR10" i="3"/>
  <c r="AQ10" i="4" s="1"/>
  <c r="AM9" i="6" s="1"/>
  <c r="AR14" i="3"/>
  <c r="AQ14" i="4" s="1"/>
  <c r="AM13" i="6" s="1"/>
  <c r="AR16" i="3"/>
  <c r="AQ16" i="4" s="1"/>
  <c r="AM15" i="6" s="1"/>
  <c r="AR18" i="3"/>
  <c r="AQ18" i="4"/>
  <c r="AM17" i="6" s="1"/>
  <c r="AR13" i="3"/>
  <c r="AQ13" i="4" s="1"/>
  <c r="AM12" i="6" s="1"/>
  <c r="AR17" i="3"/>
  <c r="AQ17" i="4" s="1"/>
  <c r="AM16" i="6" s="1"/>
  <c r="AR20" i="3"/>
  <c r="AQ20" i="4" s="1"/>
  <c r="AM19" i="6" s="1"/>
  <c r="AK13" i="3"/>
  <c r="AJ13" i="4" s="1"/>
  <c r="AF12" i="6" s="1"/>
  <c r="AK15" i="3"/>
  <c r="AJ15" i="4" s="1"/>
  <c r="AF14" i="6" s="1"/>
  <c r="AK17" i="3"/>
  <c r="AJ17" i="4" s="1"/>
  <c r="AF16" i="6" s="1"/>
  <c r="AK18" i="3"/>
  <c r="AJ18" i="4" s="1"/>
  <c r="AF17" i="6" s="1"/>
  <c r="M13" i="4"/>
  <c r="K18" i="4"/>
  <c r="K17" i="4"/>
  <c r="N8" i="4"/>
  <c r="N12" i="4"/>
  <c r="M8" i="4"/>
  <c r="M14" i="4"/>
  <c r="L8" i="4"/>
  <c r="L10" i="4"/>
  <c r="K8" i="4"/>
  <c r="K16" i="4"/>
  <c r="O8" i="3"/>
  <c r="O15" i="3"/>
  <c r="N8" i="3"/>
  <c r="N10" i="3"/>
  <c r="M8" i="3"/>
  <c r="M18" i="3"/>
  <c r="L8" i="3"/>
  <c r="L18" i="3"/>
  <c r="K8" i="3"/>
  <c r="K15" i="3"/>
  <c r="Q21" i="3"/>
  <c r="AS5" i="3"/>
  <c r="AR5" i="4" s="1"/>
  <c r="AN5" i="6" s="1"/>
  <c r="AL5" i="3"/>
  <c r="AK5" i="4" s="1"/>
  <c r="AG5" i="6" s="1"/>
  <c r="AR5" i="3"/>
  <c r="AQ5" i="4" s="1"/>
  <c r="AM5" i="6" s="1"/>
  <c r="AL6" i="3"/>
  <c r="AK6" i="4" s="1"/>
  <c r="AG6" i="6" s="1"/>
  <c r="AL7" i="3"/>
  <c r="AK7" i="4" s="1"/>
  <c r="AG7" i="6" s="1"/>
  <c r="AN7" i="3"/>
  <c r="AM7" i="4" s="1"/>
  <c r="AI7" i="6" s="1"/>
  <c r="AP7" i="3"/>
  <c r="AO7" i="4" s="1"/>
  <c r="AK7" i="6" s="1"/>
  <c r="AL9" i="3"/>
  <c r="AK9" i="4" s="1"/>
  <c r="AG8" i="6" s="1"/>
  <c r="AM9" i="3"/>
  <c r="AL9" i="4" s="1"/>
  <c r="AH8" i="6" s="1"/>
  <c r="AN9" i="3"/>
  <c r="AM9" i="4" s="1"/>
  <c r="AI8" i="6" s="1"/>
  <c r="AO9" i="3"/>
  <c r="AN9" i="4"/>
  <c r="AJ8" i="6" s="1"/>
  <c r="AP9" i="3"/>
  <c r="AO9" i="4" s="1"/>
  <c r="AK8" i="6" s="1"/>
  <c r="AQ9" i="3"/>
  <c r="AP9" i="4" s="1"/>
  <c r="AL8" i="6" s="1"/>
  <c r="AL10" i="3"/>
  <c r="AK10" i="4" s="1"/>
  <c r="AG9" i="6" s="1"/>
  <c r="AM10" i="3"/>
  <c r="AL10" i="4" s="1"/>
  <c r="AH9" i="6" s="1"/>
  <c r="AN10" i="3"/>
  <c r="AM10" i="4" s="1"/>
  <c r="AI9" i="6" s="1"/>
  <c r="AO10" i="3"/>
  <c r="AN10" i="4" s="1"/>
  <c r="AJ9" i="6" s="1"/>
  <c r="AP10" i="3"/>
  <c r="AO10" i="4" s="1"/>
  <c r="AK9" i="6" s="1"/>
  <c r="AQ10" i="3"/>
  <c r="AP10" i="4" s="1"/>
  <c r="AL9" i="6" s="1"/>
  <c r="AL11" i="3"/>
  <c r="AK11" i="4" s="1"/>
  <c r="AG10" i="6" s="1"/>
  <c r="AM11" i="3"/>
  <c r="AL11" i="4" s="1"/>
  <c r="AH10" i="6" s="1"/>
  <c r="AN11" i="3"/>
  <c r="AM11" i="4" s="1"/>
  <c r="AI10" i="6" s="1"/>
  <c r="AO11" i="3"/>
  <c r="AN11" i="4" s="1"/>
  <c r="AJ10" i="6" s="1"/>
  <c r="AP11" i="3"/>
  <c r="AO11" i="4" s="1"/>
  <c r="AK10" i="6" s="1"/>
  <c r="AQ11" i="3"/>
  <c r="AP11" i="4" s="1"/>
  <c r="AL10" i="6" s="1"/>
  <c r="AR11" i="3"/>
  <c r="AQ11" i="4" s="1"/>
  <c r="AM10" i="6" s="1"/>
  <c r="AL12" i="3"/>
  <c r="AK12" i="4" s="1"/>
  <c r="AG11" i="6" s="1"/>
  <c r="AM12" i="3"/>
  <c r="AL12" i="4" s="1"/>
  <c r="AH11" i="6" s="1"/>
  <c r="AN12" i="3"/>
  <c r="AM12" i="4" s="1"/>
  <c r="AI11" i="6" s="1"/>
  <c r="AO12" i="3"/>
  <c r="AN12" i="4" s="1"/>
  <c r="AJ11" i="6" s="1"/>
  <c r="AP12" i="3"/>
  <c r="AO12" i="4" s="1"/>
  <c r="AK11" i="6" s="1"/>
  <c r="AQ12" i="3"/>
  <c r="AP12" i="4" s="1"/>
  <c r="AL11" i="6" s="1"/>
  <c r="AR12" i="3"/>
  <c r="AQ12" i="4" s="1"/>
  <c r="AM11" i="6" s="1"/>
  <c r="AL13" i="3"/>
  <c r="AK13" i="4" s="1"/>
  <c r="AG12" i="6" s="1"/>
  <c r="AM13" i="3"/>
  <c r="AL13" i="4" s="1"/>
  <c r="AH12" i="6" s="1"/>
  <c r="AN13" i="3"/>
  <c r="AM13" i="4" s="1"/>
  <c r="AI12" i="6" s="1"/>
  <c r="AO13" i="3"/>
  <c r="AN13" i="4" s="1"/>
  <c r="AJ12" i="6" s="1"/>
  <c r="AP13" i="3"/>
  <c r="AO13" i="4" s="1"/>
  <c r="AK12" i="6" s="1"/>
  <c r="AQ13" i="3"/>
  <c r="AP13" i="4" s="1"/>
  <c r="AL12" i="6" s="1"/>
  <c r="AL14" i="3"/>
  <c r="AK14" i="4" s="1"/>
  <c r="AG13" i="6" s="1"/>
  <c r="AM14" i="3"/>
  <c r="AL14" i="4" s="1"/>
  <c r="AH13" i="6" s="1"/>
  <c r="AN14" i="3"/>
  <c r="AM14" i="4" s="1"/>
  <c r="AI13" i="6" s="1"/>
  <c r="AO14" i="3"/>
  <c r="AN14" i="4"/>
  <c r="AJ13" i="6" s="1"/>
  <c r="AP14" i="3"/>
  <c r="AO14" i="4" s="1"/>
  <c r="AK13" i="6" s="1"/>
  <c r="AQ14" i="3"/>
  <c r="AP14" i="4" s="1"/>
  <c r="AL13" i="6" s="1"/>
  <c r="AL15" i="3"/>
  <c r="AK15" i="4" s="1"/>
  <c r="AG14" i="6" s="1"/>
  <c r="AM15" i="3"/>
  <c r="AL15" i="4" s="1"/>
  <c r="AH14" i="6" s="1"/>
  <c r="AN15" i="3"/>
  <c r="AM15" i="4" s="1"/>
  <c r="AI14" i="6" s="1"/>
  <c r="AO15" i="3"/>
  <c r="AN15" i="4" s="1"/>
  <c r="AJ14" i="6" s="1"/>
  <c r="AP15" i="3"/>
  <c r="AO15" i="4" s="1"/>
  <c r="AK14" i="6" s="1"/>
  <c r="AQ15" i="3"/>
  <c r="AP15" i="4" s="1"/>
  <c r="AL14" i="6" s="1"/>
  <c r="AR15" i="3"/>
  <c r="AQ15" i="4" s="1"/>
  <c r="AM14" i="6" s="1"/>
  <c r="AL16" i="3"/>
  <c r="AK16" i="4" s="1"/>
  <c r="AG15" i="6" s="1"/>
  <c r="AM16" i="3"/>
  <c r="AL16" i="4" s="1"/>
  <c r="AH15" i="6" s="1"/>
  <c r="AN16" i="3"/>
  <c r="AM16" i="4" s="1"/>
  <c r="AI15" i="6" s="1"/>
  <c r="AO16" i="3"/>
  <c r="AN16" i="4" s="1"/>
  <c r="AJ15" i="6" s="1"/>
  <c r="AP16" i="3"/>
  <c r="AO16" i="4" s="1"/>
  <c r="AK15" i="6" s="1"/>
  <c r="AQ16" i="3"/>
  <c r="AP16" i="4" s="1"/>
  <c r="AL15" i="6" s="1"/>
  <c r="AL17" i="3"/>
  <c r="AK17" i="4"/>
  <c r="AG16" i="6" s="1"/>
  <c r="AM17" i="3"/>
  <c r="AL17" i="4" s="1"/>
  <c r="AH16" i="6" s="1"/>
  <c r="AN17" i="3"/>
  <c r="AM17" i="4" s="1"/>
  <c r="AI16" i="6" s="1"/>
  <c r="AO17" i="3"/>
  <c r="AN17" i="4" s="1"/>
  <c r="AJ16" i="6" s="1"/>
  <c r="AP17" i="3"/>
  <c r="AO17" i="4" s="1"/>
  <c r="AK16" i="6" s="1"/>
  <c r="AQ17" i="3"/>
  <c r="AP17" i="4" s="1"/>
  <c r="AL16" i="6" s="1"/>
  <c r="AL18" i="3"/>
  <c r="AK18" i="4" s="1"/>
  <c r="AG17" i="6" s="1"/>
  <c r="AM18" i="3"/>
  <c r="AL18" i="4" s="1"/>
  <c r="AH17" i="6" s="1"/>
  <c r="AN18" i="3"/>
  <c r="AM18" i="4" s="1"/>
  <c r="AI17" i="6" s="1"/>
  <c r="AO18" i="3"/>
  <c r="AN18" i="4" s="1"/>
  <c r="AJ17" i="6" s="1"/>
  <c r="AP18" i="3"/>
  <c r="AO18" i="4" s="1"/>
  <c r="AK17" i="6" s="1"/>
  <c r="AQ18" i="3"/>
  <c r="AP18" i="4" s="1"/>
  <c r="AL17" i="6" s="1"/>
  <c r="AL19" i="3"/>
  <c r="AK19" i="4" s="1"/>
  <c r="AG18" i="6" s="1"/>
  <c r="AN19" i="3"/>
  <c r="AM19" i="4" s="1"/>
  <c r="AI18" i="6" s="1"/>
  <c r="AP19" i="3"/>
  <c r="AO19" i="4" s="1"/>
  <c r="AK18" i="6" s="1"/>
  <c r="AQ19" i="3"/>
  <c r="AP19" i="4" s="1"/>
  <c r="AL18" i="6" s="1"/>
  <c r="AL20" i="3"/>
  <c r="AK20" i="4" s="1"/>
  <c r="AG19" i="6" s="1"/>
  <c r="AM20" i="3"/>
  <c r="AL20" i="4" s="1"/>
  <c r="AH19" i="6" s="1"/>
  <c r="AN20" i="3"/>
  <c r="AM20" i="4" s="1"/>
  <c r="AI19" i="6" s="1"/>
  <c r="AO20" i="3"/>
  <c r="AN20" i="4" s="1"/>
  <c r="AJ19" i="6" s="1"/>
  <c r="AP20" i="3"/>
  <c r="AO20" i="4" s="1"/>
  <c r="AK19" i="6" s="1"/>
  <c r="AQ20" i="3"/>
  <c r="AP20" i="4" s="1"/>
  <c r="AL19" i="6" s="1"/>
  <c r="AL21" i="3"/>
  <c r="AK21" i="4" s="1"/>
  <c r="AG20" i="6" s="1"/>
  <c r="AM21" i="3"/>
  <c r="AL21" i="4" s="1"/>
  <c r="AH20" i="6" s="1"/>
  <c r="AN21" i="3"/>
  <c r="AM21" i="4" s="1"/>
  <c r="AI20" i="6" s="1"/>
  <c r="AO21" i="3"/>
  <c r="AN21" i="4" s="1"/>
  <c r="AJ20" i="6" s="1"/>
  <c r="AP21" i="3"/>
  <c r="AO21" i="4" s="1"/>
  <c r="AK20" i="6" s="1"/>
  <c r="AQ21" i="3"/>
  <c r="AP21" i="4" s="1"/>
  <c r="AL20" i="6" s="1"/>
  <c r="AR21" i="3"/>
  <c r="AQ21" i="4" s="1"/>
  <c r="AM20" i="6" s="1"/>
  <c r="AF5" i="4"/>
  <c r="AB5" i="6"/>
  <c r="AH5" i="4"/>
  <c r="AD5" i="6"/>
  <c r="AF6" i="4"/>
  <c r="AB6" i="6"/>
  <c r="AF9" i="4"/>
  <c r="AB8" i="6"/>
  <c r="AG9" i="4"/>
  <c r="AC8" i="6"/>
  <c r="AF10" i="4"/>
  <c r="AB9" i="6"/>
  <c r="AF11" i="4"/>
  <c r="AB10" i="6"/>
  <c r="AF12" i="4"/>
  <c r="AB11" i="6"/>
  <c r="AF13" i="4"/>
  <c r="AB12" i="6"/>
  <c r="AF14" i="4"/>
  <c r="AB13" i="6"/>
  <c r="AF15" i="4"/>
  <c r="AB14" i="6"/>
  <c r="AF16" i="4"/>
  <c r="AB15" i="6"/>
  <c r="AF17" i="4"/>
  <c r="AB16" i="6"/>
  <c r="AF18" i="4"/>
  <c r="AB17" i="6"/>
  <c r="AF20" i="4"/>
  <c r="AB19" i="6"/>
  <c r="AF21" i="4"/>
  <c r="AB20" i="6"/>
  <c r="AK5" i="3"/>
  <c r="AJ5" i="4" s="1"/>
  <c r="AF5" i="6" s="1"/>
  <c r="AI6" i="3"/>
  <c r="AH6" i="4"/>
  <c r="AD6" i="6" s="1"/>
  <c r="AI9" i="3"/>
  <c r="AH9" i="4" s="1"/>
  <c r="AD8" i="6" s="1"/>
  <c r="AJ9" i="3"/>
  <c r="AI9" i="4" s="1"/>
  <c r="AE8" i="6" s="1"/>
  <c r="AI10" i="3"/>
  <c r="AH10" i="4" s="1"/>
  <c r="AD9" i="6" s="1"/>
  <c r="AJ10" i="3"/>
  <c r="AI10" i="4" s="1"/>
  <c r="AE9" i="6" s="1"/>
  <c r="AI11" i="3"/>
  <c r="AH11" i="4" s="1"/>
  <c r="AD10" i="6" s="1"/>
  <c r="AJ11" i="3"/>
  <c r="AI11" i="4" s="1"/>
  <c r="AE10" i="6" s="1"/>
  <c r="AK11" i="3"/>
  <c r="AJ11" i="4" s="1"/>
  <c r="AF10" i="6" s="1"/>
  <c r="AI12" i="3"/>
  <c r="AH12" i="4" s="1"/>
  <c r="AD11" i="6" s="1"/>
  <c r="AJ12" i="3"/>
  <c r="AI12" i="4" s="1"/>
  <c r="AE11" i="6" s="1"/>
  <c r="AI13" i="3"/>
  <c r="AH13" i="4" s="1"/>
  <c r="AD12" i="6" s="1"/>
  <c r="AJ13" i="3"/>
  <c r="AI13" i="4" s="1"/>
  <c r="AE12" i="6" s="1"/>
  <c r="AI14" i="3"/>
  <c r="AH14" i="4" s="1"/>
  <c r="AD13" i="6" s="1"/>
  <c r="AJ14" i="3"/>
  <c r="AI14" i="4" s="1"/>
  <c r="AE13" i="6" s="1"/>
  <c r="AI15" i="3"/>
  <c r="AH15" i="4" s="1"/>
  <c r="AD14" i="6" s="1"/>
  <c r="AJ15" i="3"/>
  <c r="AI15" i="4" s="1"/>
  <c r="AE14" i="6" s="1"/>
  <c r="AI16" i="3"/>
  <c r="AH16" i="4" s="1"/>
  <c r="AD15" i="6" s="1"/>
  <c r="AJ16" i="3"/>
  <c r="AI16" i="4" s="1"/>
  <c r="AE15" i="6" s="1"/>
  <c r="AK16" i="3"/>
  <c r="AJ16" i="4" s="1"/>
  <c r="AF15" i="6" s="1"/>
  <c r="AI17" i="3"/>
  <c r="AH17" i="4" s="1"/>
  <c r="AD16" i="6" s="1"/>
  <c r="AJ17" i="3"/>
  <c r="AI17" i="4" s="1"/>
  <c r="AE16" i="6" s="1"/>
  <c r="AI18" i="3"/>
  <c r="AH18" i="4" s="1"/>
  <c r="AD17" i="6" s="1"/>
  <c r="AJ18" i="3"/>
  <c r="AI18" i="4" s="1"/>
  <c r="AE17" i="6" s="1"/>
  <c r="AI19" i="3"/>
  <c r="AH19" i="4" s="1"/>
  <c r="AD18" i="6"/>
  <c r="AI20" i="3"/>
  <c r="AH20" i="4" s="1"/>
  <c r="AD19" i="6" s="1"/>
  <c r="AI21" i="3"/>
  <c r="AH21" i="4" s="1"/>
  <c r="AD20" i="6" s="1"/>
  <c r="AJ21" i="3"/>
  <c r="AI21" i="4" s="1"/>
  <c r="AE20" i="6" s="1"/>
  <c r="AH11" i="3"/>
  <c r="AG11" i="4"/>
  <c r="AC10" i="6"/>
  <c r="AH12" i="3"/>
  <c r="AG12" i="4"/>
  <c r="AC11" i="6"/>
  <c r="AH13" i="3"/>
  <c r="AG13" i="4"/>
  <c r="AC12" i="6"/>
  <c r="AH14" i="3"/>
  <c r="AG14" i="4"/>
  <c r="AC13" i="6"/>
  <c r="AH15" i="3"/>
  <c r="AG15" i="4"/>
  <c r="AC14" i="6"/>
  <c r="AH16" i="3"/>
  <c r="AG16" i="4"/>
  <c r="AC15" i="6"/>
  <c r="AH17" i="3"/>
  <c r="AG17" i="4"/>
  <c r="AC16" i="6"/>
  <c r="AH18" i="3"/>
  <c r="AG18" i="4"/>
  <c r="AC17" i="6"/>
  <c r="AH20" i="3"/>
  <c r="AG20" i="4"/>
  <c r="AC19" i="6"/>
  <c r="AH21" i="3"/>
  <c r="AG21" i="4"/>
  <c r="AC20" i="6"/>
  <c r="AH10" i="3"/>
  <c r="AG10" i="4"/>
  <c r="AC9" i="6"/>
  <c r="AG19" i="3"/>
  <c r="AF19" i="4"/>
  <c r="AB18" i="6"/>
  <c r="AJ20" i="3"/>
  <c r="AI20" i="4" s="1"/>
  <c r="AE19" i="6" s="1"/>
  <c r="AJ19" i="3"/>
  <c r="AI19" i="4" s="1"/>
  <c r="AE18" i="6" s="1"/>
  <c r="Z19" i="6"/>
  <c r="X19" i="6"/>
  <c r="V19" i="6"/>
  <c r="T19" i="6"/>
  <c r="R19" i="6"/>
  <c r="P19" i="6"/>
  <c r="N19" i="6"/>
  <c r="AA19" i="6"/>
  <c r="H19" i="6"/>
  <c r="D19" i="6"/>
  <c r="Y18" i="6"/>
  <c r="Y20" i="6"/>
  <c r="W18" i="6"/>
  <c r="W20" i="6"/>
  <c r="U18" i="6"/>
  <c r="U20" i="6"/>
  <c r="S18" i="6"/>
  <c r="S20" i="6"/>
  <c r="O18" i="6"/>
  <c r="O20" i="6"/>
  <c r="M18" i="6"/>
  <c r="M20" i="6"/>
  <c r="E18" i="6"/>
  <c r="C18" i="6"/>
  <c r="F11" i="6"/>
  <c r="Z17" i="6"/>
  <c r="X17" i="6"/>
  <c r="V17" i="6"/>
  <c r="T17" i="6"/>
  <c r="Q17" i="6"/>
  <c r="R17" i="6"/>
  <c r="P17" i="6"/>
  <c r="N17" i="6"/>
  <c r="D17" i="6"/>
  <c r="Z16" i="6"/>
  <c r="X16" i="6"/>
  <c r="V16" i="6"/>
  <c r="T16" i="6"/>
  <c r="Q16" i="6"/>
  <c r="R16" i="6"/>
  <c r="P16" i="6"/>
  <c r="N16" i="6"/>
  <c r="D16" i="6"/>
  <c r="Z15" i="6"/>
  <c r="X15" i="6"/>
  <c r="V15" i="6"/>
  <c r="T15" i="6"/>
  <c r="Q15" i="6"/>
  <c r="R15" i="6"/>
  <c r="P15" i="6"/>
  <c r="P18" i="6"/>
  <c r="P20" i="6"/>
  <c r="N15" i="6"/>
  <c r="D15" i="6"/>
  <c r="Z14" i="6"/>
  <c r="X14" i="6"/>
  <c r="V14" i="6"/>
  <c r="T14" i="6"/>
  <c r="Q14" i="6"/>
  <c r="R14" i="6"/>
  <c r="P14" i="6"/>
  <c r="N14" i="6"/>
  <c r="D14" i="6"/>
  <c r="Z13" i="6"/>
  <c r="X13" i="6"/>
  <c r="V13" i="6"/>
  <c r="T13" i="6"/>
  <c r="Q13" i="6"/>
  <c r="R13" i="6"/>
  <c r="P13" i="6"/>
  <c r="N13" i="6"/>
  <c r="D13" i="6"/>
  <c r="Z12" i="6"/>
  <c r="X12" i="6"/>
  <c r="V12" i="6"/>
  <c r="T12" i="6"/>
  <c r="Q12" i="6"/>
  <c r="R12" i="6"/>
  <c r="P12" i="6"/>
  <c r="N12" i="6"/>
  <c r="D12" i="6"/>
  <c r="Z11" i="6"/>
  <c r="X11" i="6"/>
  <c r="X18" i="6"/>
  <c r="X20" i="6"/>
  <c r="V11" i="6"/>
  <c r="T11" i="6"/>
  <c r="Q11" i="6"/>
  <c r="R11" i="6"/>
  <c r="P11" i="6"/>
  <c r="N11" i="6"/>
  <c r="D11" i="6"/>
  <c r="Z10" i="6"/>
  <c r="Z18" i="6"/>
  <c r="Z20" i="6"/>
  <c r="V10" i="6"/>
  <c r="T10" i="6"/>
  <c r="Q10" i="6"/>
  <c r="R10" i="6"/>
  <c r="P10" i="6"/>
  <c r="N10" i="6"/>
  <c r="D10" i="6"/>
  <c r="Z9" i="6"/>
  <c r="V9" i="6"/>
  <c r="V18" i="6"/>
  <c r="V20" i="6"/>
  <c r="T9" i="6"/>
  <c r="T18" i="6"/>
  <c r="T20" i="6"/>
  <c r="Q9" i="6"/>
  <c r="P9" i="6"/>
  <c r="N9" i="6"/>
  <c r="N18" i="6"/>
  <c r="N20" i="6"/>
  <c r="K18" i="6"/>
  <c r="D9" i="6"/>
  <c r="D18" i="6"/>
  <c r="K19" i="4"/>
  <c r="O12" i="4"/>
  <c r="O13" i="4"/>
  <c r="O14" i="4"/>
  <c r="AS14" i="4"/>
  <c r="O16" i="4"/>
  <c r="O17" i="4"/>
  <c r="O18" i="4"/>
  <c r="AD20" i="4"/>
  <c r="AB20" i="4"/>
  <c r="Z20" i="4"/>
  <c r="X20" i="4"/>
  <c r="V20" i="4"/>
  <c r="T20" i="4"/>
  <c r="R20" i="4"/>
  <c r="AE20" i="4"/>
  <c r="H20" i="4"/>
  <c r="D20" i="4"/>
  <c r="AC19" i="4"/>
  <c r="AC21" i="4"/>
  <c r="AA19" i="4"/>
  <c r="AA21" i="4"/>
  <c r="Y19" i="4"/>
  <c r="Y21" i="4"/>
  <c r="W19" i="4"/>
  <c r="W21" i="4"/>
  <c r="S19" i="4"/>
  <c r="S21" i="4"/>
  <c r="Q19" i="4"/>
  <c r="Q21" i="4"/>
  <c r="E19" i="4"/>
  <c r="C19" i="4"/>
  <c r="C21" i="4"/>
  <c r="AD18" i="4"/>
  <c r="AB18" i="4"/>
  <c r="Z18" i="4"/>
  <c r="X18" i="4"/>
  <c r="U18" i="4"/>
  <c r="V18" i="4"/>
  <c r="T18" i="4"/>
  <c r="R18" i="4"/>
  <c r="F18" i="4"/>
  <c r="D18" i="4"/>
  <c r="AD17" i="4"/>
  <c r="AB17" i="4"/>
  <c r="Z17" i="4"/>
  <c r="X17" i="4"/>
  <c r="U17" i="4"/>
  <c r="V17" i="4"/>
  <c r="T17" i="4"/>
  <c r="R17" i="4"/>
  <c r="D17" i="4"/>
  <c r="AD16" i="4"/>
  <c r="AB16" i="4"/>
  <c r="Z16" i="4"/>
  <c r="X16" i="4"/>
  <c r="U16" i="4"/>
  <c r="V16" i="4"/>
  <c r="T16" i="4"/>
  <c r="R16" i="4"/>
  <c r="K23" i="4"/>
  <c r="D16" i="4"/>
  <c r="AD15" i="4"/>
  <c r="AB15" i="4"/>
  <c r="Z15" i="4"/>
  <c r="X15" i="4"/>
  <c r="U15" i="4"/>
  <c r="V15" i="4"/>
  <c r="T15" i="4"/>
  <c r="T19" i="4"/>
  <c r="T21" i="4"/>
  <c r="R15" i="4"/>
  <c r="F15" i="4"/>
  <c r="J15" i="4"/>
  <c r="D15" i="4"/>
  <c r="AD14" i="4"/>
  <c r="AB14" i="4"/>
  <c r="Z14" i="4"/>
  <c r="X14" i="4"/>
  <c r="U14" i="4"/>
  <c r="V14" i="4"/>
  <c r="T14" i="4"/>
  <c r="R14" i="4"/>
  <c r="F14" i="4"/>
  <c r="J14" i="4"/>
  <c r="D14" i="4"/>
  <c r="AD13" i="4"/>
  <c r="AB13" i="4"/>
  <c r="Z13" i="4"/>
  <c r="X13" i="4"/>
  <c r="U13" i="4"/>
  <c r="V13" i="4"/>
  <c r="T13" i="4"/>
  <c r="R13" i="4"/>
  <c r="F13" i="4"/>
  <c r="J13" i="4"/>
  <c r="D13" i="4"/>
  <c r="AD12" i="4"/>
  <c r="AB12" i="4"/>
  <c r="Z12" i="4"/>
  <c r="X12" i="4"/>
  <c r="U12" i="4"/>
  <c r="V12" i="4"/>
  <c r="T12" i="4"/>
  <c r="R12" i="4"/>
  <c r="F12" i="4"/>
  <c r="J12" i="4"/>
  <c r="AS12" i="4"/>
  <c r="D12" i="4"/>
  <c r="AD11" i="4"/>
  <c r="Z11" i="4"/>
  <c r="X11" i="4"/>
  <c r="U11" i="4"/>
  <c r="V11" i="4"/>
  <c r="T11" i="4"/>
  <c r="R11" i="4"/>
  <c r="F11" i="4"/>
  <c r="J11" i="4"/>
  <c r="D11" i="4"/>
  <c r="AD10" i="4"/>
  <c r="AD19" i="4"/>
  <c r="AD21" i="4"/>
  <c r="Z10" i="4"/>
  <c r="X10" i="4"/>
  <c r="X19" i="4"/>
  <c r="X21" i="4"/>
  <c r="U10" i="4"/>
  <c r="U19" i="4"/>
  <c r="U21" i="4"/>
  <c r="T10" i="4"/>
  <c r="R10" i="4"/>
  <c r="F10" i="4"/>
  <c r="D10" i="4"/>
  <c r="D19" i="4"/>
  <c r="D21" i="4"/>
  <c r="N19" i="3"/>
  <c r="AE20" i="3"/>
  <c r="AC20" i="3"/>
  <c r="AA20" i="3"/>
  <c r="Y20" i="3"/>
  <c r="W20" i="3"/>
  <c r="U20" i="3"/>
  <c r="S20" i="3"/>
  <c r="AF20" i="3"/>
  <c r="H20" i="3"/>
  <c r="D20" i="3"/>
  <c r="AD19" i="3"/>
  <c r="AD21" i="3"/>
  <c r="AB19" i="3"/>
  <c r="AB21" i="3"/>
  <c r="Z19" i="3"/>
  <c r="Z21" i="3"/>
  <c r="X19" i="3"/>
  <c r="X21" i="3"/>
  <c r="T19" i="3"/>
  <c r="T21" i="3"/>
  <c r="R19" i="3"/>
  <c r="R21" i="3"/>
  <c r="E19" i="3"/>
  <c r="C19" i="3"/>
  <c r="C21" i="3"/>
  <c r="AE18" i="3"/>
  <c r="AC18" i="3"/>
  <c r="AA18" i="3"/>
  <c r="Y18" i="3"/>
  <c r="V18" i="3"/>
  <c r="W18" i="3"/>
  <c r="U18" i="3"/>
  <c r="S18" i="3"/>
  <c r="D18" i="3"/>
  <c r="AE17" i="3"/>
  <c r="AC17" i="3"/>
  <c r="AA17" i="3"/>
  <c r="Y17" i="3"/>
  <c r="V17" i="3"/>
  <c r="W17" i="3"/>
  <c r="U17" i="3"/>
  <c r="S17" i="3"/>
  <c r="D17" i="3"/>
  <c r="AE16" i="3"/>
  <c r="AC16" i="3"/>
  <c r="AA16" i="3"/>
  <c r="Y16" i="3"/>
  <c r="V16" i="3"/>
  <c r="W16" i="3"/>
  <c r="U16" i="3"/>
  <c r="S16" i="3"/>
  <c r="D16" i="3"/>
  <c r="AE15" i="3"/>
  <c r="AC15" i="3"/>
  <c r="AA15" i="3"/>
  <c r="Y15" i="3"/>
  <c r="V15" i="3"/>
  <c r="W15" i="3"/>
  <c r="U15" i="3"/>
  <c r="S15" i="3"/>
  <c r="D15" i="3"/>
  <c r="AE14" i="3"/>
  <c r="AC14" i="3"/>
  <c r="AA14" i="3"/>
  <c r="Y14" i="3"/>
  <c r="V14" i="3"/>
  <c r="W14" i="3"/>
  <c r="U14" i="3"/>
  <c r="S14" i="3"/>
  <c r="D14" i="3"/>
  <c r="AE13" i="3"/>
  <c r="AC13" i="3"/>
  <c r="AA13" i="3"/>
  <c r="Y13" i="3"/>
  <c r="V13" i="3"/>
  <c r="W13" i="3"/>
  <c r="U13" i="3"/>
  <c r="S13" i="3"/>
  <c r="D13" i="3"/>
  <c r="AE12" i="3"/>
  <c r="AC12" i="3"/>
  <c r="AA12" i="3"/>
  <c r="Y12" i="3"/>
  <c r="V12" i="3"/>
  <c r="W12" i="3"/>
  <c r="U12" i="3"/>
  <c r="S12" i="3"/>
  <c r="S19" i="3"/>
  <c r="F12" i="3"/>
  <c r="G12" i="3"/>
  <c r="H12" i="3"/>
  <c r="D12" i="3"/>
  <c r="AE11" i="3"/>
  <c r="AA11" i="3"/>
  <c r="Y11" i="3"/>
  <c r="V11" i="3"/>
  <c r="W11" i="3"/>
  <c r="U11" i="3"/>
  <c r="S11" i="3"/>
  <c r="F11" i="3"/>
  <c r="D11" i="3"/>
  <c r="AE10" i="3"/>
  <c r="AE19" i="3"/>
  <c r="AE21" i="3"/>
  <c r="AA10" i="3"/>
  <c r="AA19" i="3"/>
  <c r="AA21" i="3"/>
  <c r="Y10" i="3"/>
  <c r="V10" i="3"/>
  <c r="V19" i="3"/>
  <c r="V21" i="3"/>
  <c r="U10" i="3"/>
  <c r="U19" i="3"/>
  <c r="U21" i="3"/>
  <c r="S10" i="3"/>
  <c r="S21" i="3"/>
  <c r="F10" i="3"/>
  <c r="G10" i="3"/>
  <c r="D10" i="3"/>
  <c r="D19" i="3"/>
  <c r="F22" i="3"/>
  <c r="G16" i="2"/>
  <c r="F17" i="2"/>
  <c r="F15" i="2"/>
  <c r="D9" i="2"/>
  <c r="H9" i="2"/>
  <c r="I9" i="2"/>
  <c r="D10" i="2"/>
  <c r="H10" i="2"/>
  <c r="D11" i="2"/>
  <c r="H11" i="2"/>
  <c r="I11" i="2"/>
  <c r="D12" i="2"/>
  <c r="H12" i="2"/>
  <c r="I12" i="2"/>
  <c r="D13" i="2"/>
  <c r="H13" i="2"/>
  <c r="I13" i="2"/>
  <c r="D14" i="2"/>
  <c r="H14" i="2"/>
  <c r="I14" i="2"/>
  <c r="AB14" i="2"/>
  <c r="D15" i="2"/>
  <c r="H15" i="2"/>
  <c r="I15" i="2"/>
  <c r="D16" i="2"/>
  <c r="H16" i="2"/>
  <c r="I16" i="2"/>
  <c r="D17" i="2"/>
  <c r="H17" i="2"/>
  <c r="I17" i="2"/>
  <c r="E18" i="2"/>
  <c r="C18" i="2"/>
  <c r="I19" i="2"/>
  <c r="M9" i="2"/>
  <c r="M10" i="2"/>
  <c r="M11" i="2"/>
  <c r="M12" i="2"/>
  <c r="M13" i="2"/>
  <c r="M14" i="2"/>
  <c r="M15" i="2"/>
  <c r="M16" i="2"/>
  <c r="M17" i="2"/>
  <c r="M18" i="2"/>
  <c r="M20" i="2"/>
  <c r="M19" i="2"/>
  <c r="O9" i="2"/>
  <c r="O10" i="2"/>
  <c r="O11" i="2"/>
  <c r="O12" i="2"/>
  <c r="O13" i="2"/>
  <c r="O14" i="2"/>
  <c r="O15" i="2"/>
  <c r="O16" i="2"/>
  <c r="O17" i="2"/>
  <c r="O19" i="2"/>
  <c r="Q9" i="2"/>
  <c r="Q10" i="2"/>
  <c r="Q11" i="2"/>
  <c r="Q12" i="2"/>
  <c r="Q13" i="2"/>
  <c r="Q14" i="2"/>
  <c r="Q15" i="2"/>
  <c r="Q16" i="2"/>
  <c r="Q17" i="2"/>
  <c r="Q19" i="2"/>
  <c r="R9" i="2"/>
  <c r="S9" i="2"/>
  <c r="R10" i="2"/>
  <c r="S10" i="2"/>
  <c r="R11" i="2"/>
  <c r="S11" i="2"/>
  <c r="R12" i="2"/>
  <c r="S12" i="2"/>
  <c r="R13" i="2"/>
  <c r="S13" i="2"/>
  <c r="R14" i="2"/>
  <c r="S14" i="2"/>
  <c r="R15" i="2"/>
  <c r="S15" i="2"/>
  <c r="R16" i="2"/>
  <c r="S16" i="2"/>
  <c r="R17" i="2"/>
  <c r="S17" i="2"/>
  <c r="S19" i="2"/>
  <c r="W9" i="2"/>
  <c r="W10" i="2"/>
  <c r="W11" i="2"/>
  <c r="W12" i="2"/>
  <c r="W13" i="2"/>
  <c r="W14" i="2"/>
  <c r="W15" i="2"/>
  <c r="W16" i="2"/>
  <c r="W17" i="2"/>
  <c r="W19" i="2"/>
  <c r="Y11" i="2"/>
  <c r="Y18" i="2"/>
  <c r="Y20" i="2"/>
  <c r="Y12" i="2"/>
  <c r="Y13" i="2"/>
  <c r="Y14" i="2"/>
  <c r="Y15" i="2"/>
  <c r="Y16" i="2"/>
  <c r="Y17" i="2"/>
  <c r="Y19" i="2"/>
  <c r="AB19" i="2"/>
  <c r="AA9" i="2"/>
  <c r="AA10" i="2"/>
  <c r="AA11" i="2"/>
  <c r="AA18" i="2"/>
  <c r="AA20" i="2"/>
  <c r="AA12" i="2"/>
  <c r="AA13" i="2"/>
  <c r="AA14" i="2"/>
  <c r="AA15" i="2"/>
  <c r="AA16" i="2"/>
  <c r="AA17" i="2"/>
  <c r="AA19" i="2"/>
  <c r="U9" i="2"/>
  <c r="U10" i="2"/>
  <c r="U11" i="2"/>
  <c r="U18" i="2"/>
  <c r="U20" i="2"/>
  <c r="U12" i="2"/>
  <c r="U13" i="2"/>
  <c r="U14" i="2"/>
  <c r="U15" i="2"/>
  <c r="U16" i="2"/>
  <c r="U17" i="2"/>
  <c r="U19" i="2"/>
  <c r="Z18" i="2"/>
  <c r="Z20" i="2"/>
  <c r="X18" i="2"/>
  <c r="X20" i="2"/>
  <c r="V18" i="2"/>
  <c r="V20" i="2"/>
  <c r="T18" i="2"/>
  <c r="T20" i="2"/>
  <c r="P18" i="2"/>
  <c r="P20" i="2"/>
  <c r="N18" i="2"/>
  <c r="N20" i="2"/>
  <c r="L18" i="2"/>
  <c r="L20" i="2"/>
  <c r="D19" i="2"/>
  <c r="C20" i="2"/>
  <c r="I10" i="3"/>
  <c r="I12" i="3"/>
  <c r="I11" i="3"/>
  <c r="J11" i="3"/>
  <c r="D21" i="3"/>
  <c r="W10" i="3"/>
  <c r="W19" i="3"/>
  <c r="W21" i="3"/>
  <c r="AB9" i="2"/>
  <c r="F22" i="4"/>
  <c r="G10" i="4"/>
  <c r="H10" i="4"/>
  <c r="I10" i="4"/>
  <c r="J10" i="4"/>
  <c r="G11" i="4"/>
  <c r="H11" i="4"/>
  <c r="I11" i="4"/>
  <c r="G12" i="4"/>
  <c r="H12" i="4"/>
  <c r="I12" i="4"/>
  <c r="P12" i="4"/>
  <c r="AE12" i="4"/>
  <c r="G13" i="4"/>
  <c r="H13" i="4"/>
  <c r="I13" i="4"/>
  <c r="P13" i="4"/>
  <c r="AE13" i="4"/>
  <c r="G14" i="4"/>
  <c r="H14" i="4"/>
  <c r="I14" i="4"/>
  <c r="P14" i="4"/>
  <c r="AE14" i="4"/>
  <c r="G15" i="4"/>
  <c r="H15" i="4"/>
  <c r="I15" i="4"/>
  <c r="G18" i="4"/>
  <c r="H18" i="4"/>
  <c r="I24" i="4"/>
  <c r="F21" i="6"/>
  <c r="D20" i="6"/>
  <c r="R9" i="6"/>
  <c r="R18" i="6"/>
  <c r="R20" i="6"/>
  <c r="G11" i="6"/>
  <c r="H11" i="6"/>
  <c r="O10" i="4"/>
  <c r="AS10" i="4"/>
  <c r="H10" i="3"/>
  <c r="AH19" i="3"/>
  <c r="AG19" i="4"/>
  <c r="AC18" i="6"/>
  <c r="AK14" i="3"/>
  <c r="AJ14" i="4" s="1"/>
  <c r="AF13" i="6" s="1"/>
  <c r="AK12" i="3"/>
  <c r="AJ12" i="4" s="1"/>
  <c r="AF11" i="6" s="1"/>
  <c r="P15" i="3"/>
  <c r="P18" i="3"/>
  <c r="M16" i="3"/>
  <c r="M17" i="3"/>
  <c r="O11" i="3"/>
  <c r="O19" i="3"/>
  <c r="O12" i="3"/>
  <c r="O13" i="3"/>
  <c r="O14" i="3"/>
  <c r="K10" i="3"/>
  <c r="K12" i="3"/>
  <c r="K19" i="3"/>
  <c r="P12" i="3"/>
  <c r="L11" i="3"/>
  <c r="L19" i="3"/>
  <c r="L13" i="3"/>
  <c r="P13" i="3"/>
  <c r="L14" i="3"/>
  <c r="P14" i="3"/>
  <c r="L16" i="3"/>
  <c r="P16" i="3"/>
  <c r="L17" i="3"/>
  <c r="P17" i="3"/>
  <c r="M19" i="3"/>
  <c r="Q12" i="3"/>
  <c r="AF12" i="3"/>
  <c r="P10" i="3"/>
  <c r="AK19" i="3"/>
  <c r="AJ19" i="4" s="1"/>
  <c r="AF18" i="6" s="1"/>
  <c r="AM19" i="3"/>
  <c r="AL19" i="4" s="1"/>
  <c r="AH18" i="6" s="1"/>
  <c r="I10" i="2"/>
  <c r="H18" i="2"/>
  <c r="H20" i="2"/>
  <c r="R18" i="2"/>
  <c r="R20" i="2"/>
  <c r="AB13" i="2"/>
  <c r="R19" i="4"/>
  <c r="R21" i="4"/>
  <c r="P11" i="3"/>
  <c r="Q10" i="3"/>
  <c r="AF10" i="3"/>
  <c r="W18" i="2"/>
  <c r="W20" i="2"/>
  <c r="AB16" i="2"/>
  <c r="J11" i="6"/>
  <c r="AO11" i="6"/>
  <c r="I11" i="6"/>
  <c r="L11" i="6"/>
  <c r="AA11" i="6"/>
  <c r="P10" i="4"/>
  <c r="Q18" i="2"/>
  <c r="Q20" i="2"/>
  <c r="O18" i="2"/>
  <c r="O20" i="2"/>
  <c r="AB15" i="2"/>
  <c r="AB12" i="2"/>
  <c r="S18" i="2"/>
  <c r="S20" i="2"/>
  <c r="AB17" i="2"/>
  <c r="AB11" i="2"/>
  <c r="D18" i="2"/>
  <c r="D20" i="2"/>
  <c r="G11" i="3"/>
  <c r="Q18" i="6"/>
  <c r="Q20" i="6"/>
  <c r="AC19" i="3"/>
  <c r="AC21" i="3"/>
  <c r="AB19" i="4"/>
  <c r="AB21" i="4"/>
  <c r="V10" i="4"/>
  <c r="V19" i="4"/>
  <c r="V21" i="4"/>
  <c r="Y19" i="3"/>
  <c r="Y21" i="3"/>
  <c r="Z19" i="4"/>
  <c r="Z21" i="4"/>
  <c r="AS13" i="4"/>
  <c r="L19" i="4"/>
  <c r="L23" i="4"/>
  <c r="I18" i="4"/>
  <c r="P18" i="4"/>
  <c r="AE18" i="4"/>
  <c r="J18" i="4"/>
  <c r="AS18" i="4"/>
  <c r="F17" i="6"/>
  <c r="F16" i="6"/>
  <c r="F15" i="6"/>
  <c r="F14" i="6"/>
  <c r="F13" i="6"/>
  <c r="F12" i="6"/>
  <c r="F10" i="6"/>
  <c r="F9" i="6"/>
  <c r="C20" i="6"/>
  <c r="J12" i="3"/>
  <c r="AT12" i="3"/>
  <c r="J10" i="3"/>
  <c r="AT10" i="3"/>
  <c r="F13" i="3"/>
  <c r="F14" i="3"/>
  <c r="F15" i="3"/>
  <c r="F16" i="3"/>
  <c r="F17" i="3"/>
  <c r="F18" i="3"/>
  <c r="F16" i="4"/>
  <c r="F19" i="4"/>
  <c r="F17" i="4"/>
  <c r="M11" i="4"/>
  <c r="N15" i="4"/>
  <c r="AK21" i="3"/>
  <c r="AJ21" i="4" s="1"/>
  <c r="AO19" i="3"/>
  <c r="AN19" i="4"/>
  <c r="AJ18" i="6" s="1"/>
  <c r="AK20" i="3"/>
  <c r="AJ20" i="4" s="1"/>
  <c r="AU20" i="4" s="1"/>
  <c r="AR19" i="3"/>
  <c r="AQ19" i="4" s="1"/>
  <c r="AM18" i="6" s="1"/>
  <c r="I14" i="3"/>
  <c r="Q14" i="3"/>
  <c r="AF14" i="3"/>
  <c r="G14" i="3"/>
  <c r="H14" i="3"/>
  <c r="J14" i="3"/>
  <c r="AT14" i="3"/>
  <c r="J14" i="6"/>
  <c r="AO14" i="6"/>
  <c r="G14" i="6"/>
  <c r="H14" i="6"/>
  <c r="I14" i="6"/>
  <c r="L14" i="6"/>
  <c r="AA14" i="6"/>
  <c r="AB10" i="2"/>
  <c r="I18" i="2"/>
  <c r="M19" i="4"/>
  <c r="M23" i="4"/>
  <c r="O11" i="4"/>
  <c r="G18" i="3"/>
  <c r="H18" i="3"/>
  <c r="I18" i="3"/>
  <c r="Q18" i="3"/>
  <c r="AF18" i="3"/>
  <c r="J18" i="3"/>
  <c r="AT18" i="3"/>
  <c r="F18" i="6"/>
  <c r="J9" i="6"/>
  <c r="G9" i="6"/>
  <c r="I9" i="6"/>
  <c r="I17" i="3"/>
  <c r="Q17" i="3"/>
  <c r="AF17" i="3"/>
  <c r="G17" i="3"/>
  <c r="H17" i="3"/>
  <c r="J17" i="3"/>
  <c r="AT17" i="3"/>
  <c r="J13" i="3"/>
  <c r="AT13" i="3"/>
  <c r="G13" i="3"/>
  <c r="H13" i="3"/>
  <c r="I13" i="3"/>
  <c r="J10" i="6"/>
  <c r="AO10" i="6"/>
  <c r="G10" i="6"/>
  <c r="H10" i="6"/>
  <c r="I10" i="6"/>
  <c r="L10" i="6"/>
  <c r="AA10" i="6"/>
  <c r="J15" i="6"/>
  <c r="AO15" i="6"/>
  <c r="I15" i="6"/>
  <c r="L15" i="6"/>
  <c r="AA15" i="6"/>
  <c r="G15" i="6"/>
  <c r="H15" i="6"/>
  <c r="F19" i="3"/>
  <c r="J12" i="6"/>
  <c r="AO12" i="6"/>
  <c r="G12" i="6"/>
  <c r="H12" i="6"/>
  <c r="I12" i="6"/>
  <c r="L12" i="6"/>
  <c r="AA12" i="6"/>
  <c r="J16" i="6"/>
  <c r="AO16" i="6"/>
  <c r="G16" i="6"/>
  <c r="H16" i="6"/>
  <c r="I16" i="6"/>
  <c r="L16" i="6"/>
  <c r="AA16" i="6"/>
  <c r="H11" i="3"/>
  <c r="AE10" i="4"/>
  <c r="P19" i="3"/>
  <c r="AT11" i="3"/>
  <c r="Q11" i="3"/>
  <c r="AF11" i="3"/>
  <c r="J17" i="4"/>
  <c r="AS17" i="4"/>
  <c r="G17" i="4"/>
  <c r="H17" i="4"/>
  <c r="I17" i="4"/>
  <c r="P17" i="4"/>
  <c r="AE17" i="4"/>
  <c r="J16" i="3"/>
  <c r="AT16" i="3"/>
  <c r="G16" i="3"/>
  <c r="H16" i="3"/>
  <c r="I16" i="3"/>
  <c r="Q16" i="3"/>
  <c r="AF16" i="3"/>
  <c r="N19" i="4"/>
  <c r="O15" i="4"/>
  <c r="N23" i="4"/>
  <c r="J23" i="4"/>
  <c r="G16" i="4"/>
  <c r="J16" i="4"/>
  <c r="I16" i="4"/>
  <c r="G15" i="3"/>
  <c r="H15" i="3"/>
  <c r="I15" i="3"/>
  <c r="Q15" i="3"/>
  <c r="AF15" i="3"/>
  <c r="J15" i="3"/>
  <c r="AT15" i="3"/>
  <c r="J13" i="6"/>
  <c r="AO13" i="6"/>
  <c r="I13" i="6"/>
  <c r="L13" i="6"/>
  <c r="AA13" i="6"/>
  <c r="G13" i="6"/>
  <c r="H13" i="6"/>
  <c r="J17" i="6"/>
  <c r="AO17" i="6"/>
  <c r="I17" i="6"/>
  <c r="L17" i="6"/>
  <c r="AA17" i="6"/>
  <c r="G17" i="6"/>
  <c r="H17" i="6"/>
  <c r="AS16" i="4"/>
  <c r="J22" i="4"/>
  <c r="J19" i="4"/>
  <c r="G19" i="3"/>
  <c r="G21" i="3"/>
  <c r="G19" i="4"/>
  <c r="G21" i="4"/>
  <c r="H16" i="4"/>
  <c r="H19" i="4"/>
  <c r="H21" i="4"/>
  <c r="AE21" i="4"/>
  <c r="J19" i="3"/>
  <c r="H19" i="3"/>
  <c r="H21" i="3"/>
  <c r="AF21" i="3"/>
  <c r="Q13" i="3"/>
  <c r="AF13" i="3"/>
  <c r="AF22" i="3"/>
  <c r="I19" i="3"/>
  <c r="Q19" i="3"/>
  <c r="AF19" i="3"/>
  <c r="J18" i="6"/>
  <c r="AO18" i="6"/>
  <c r="AO9" i="6"/>
  <c r="I20" i="2"/>
  <c r="AB20" i="2"/>
  <c r="AB18" i="2"/>
  <c r="AS11" i="4"/>
  <c r="P11" i="4"/>
  <c r="AE11" i="4"/>
  <c r="O19" i="4"/>
  <c r="AS19" i="4"/>
  <c r="P16" i="4"/>
  <c r="AE16" i="4"/>
  <c r="I19" i="4"/>
  <c r="L9" i="6"/>
  <c r="AA9" i="6"/>
  <c r="AA21" i="6"/>
  <c r="I18" i="6"/>
  <c r="L18" i="6"/>
  <c r="AA18" i="6"/>
  <c r="AT19" i="3"/>
  <c r="AS15" i="4"/>
  <c r="P15" i="4"/>
  <c r="AE15" i="4"/>
  <c r="AE22" i="4"/>
  <c r="G18" i="6"/>
  <c r="G20" i="6"/>
  <c r="H9" i="6"/>
  <c r="H18" i="6"/>
  <c r="H20" i="6"/>
  <c r="AA20" i="6"/>
  <c r="P19" i="4"/>
  <c r="AE19" i="4"/>
  <c r="AS21" i="3"/>
  <c r="AR21" i="4" s="1"/>
  <c r="AN20" i="6" s="1"/>
  <c r="AS17" i="3"/>
  <c r="AR17" i="4" s="1"/>
  <c r="AN16" i="6" s="1"/>
  <c r="AS16" i="3"/>
  <c r="AR16" i="4" s="1"/>
  <c r="AN15" i="6" s="1"/>
  <c r="AS15" i="3"/>
  <c r="AR15" i="4" s="1"/>
  <c r="AN14" i="6" s="1"/>
  <c r="AS14" i="3"/>
  <c r="AR14" i="4" s="1"/>
  <c r="AN13" i="6" s="1"/>
  <c r="AS18" i="3"/>
  <c r="AR18" i="4" s="1"/>
  <c r="AN17" i="6" s="1"/>
  <c r="AS13" i="3"/>
  <c r="AR13" i="4" s="1"/>
  <c r="AN12" i="6" s="1"/>
  <c r="AS12" i="3"/>
  <c r="AR12" i="4" s="1"/>
  <c r="AN11" i="6" s="1"/>
  <c r="AS11" i="3"/>
  <c r="AR11" i="4" s="1"/>
  <c r="AN10" i="6" s="1"/>
  <c r="AF19" i="6" l="1"/>
  <c r="AU19" i="4"/>
  <c r="AU21" i="4"/>
  <c r="AF20" i="6"/>
  <c r="AS10" i="3" l="1"/>
  <c r="AR10" i="4" s="1"/>
  <c r="AN9" i="6" s="1"/>
  <c r="AS19" i="3"/>
  <c r="AR19" i="4" s="1"/>
  <c r="AN18" i="6" s="1"/>
  <c r="AS20" i="3" l="1"/>
  <c r="AR20" i="4" s="1"/>
  <c r="AN19" i="6" s="1"/>
</calcChain>
</file>

<file path=xl/sharedStrings.xml><?xml version="1.0" encoding="utf-8"?>
<sst xmlns="http://schemas.openxmlformats.org/spreadsheetml/2006/main" count="333" uniqueCount="117">
  <si>
    <t xml:space="preserve">                                    Приложение № 1</t>
  </si>
  <si>
    <t>разпределение на 100% от средствата по разходен стандарт</t>
  </si>
  <si>
    <t>100% от средствата</t>
  </si>
  <si>
    <t>Всичко средства по държавна  дейност 322</t>
  </si>
  <si>
    <t>№ по ред</t>
  </si>
  <si>
    <t>Училище</t>
  </si>
  <si>
    <t>основен компонент</t>
  </si>
  <si>
    <t>Всичко стандарт за общообразователни училища - 100%</t>
  </si>
  <si>
    <t xml:space="preserve">самостоятелна форма </t>
  </si>
  <si>
    <t>индивидуална</t>
  </si>
  <si>
    <t>МТБ</t>
  </si>
  <si>
    <t xml:space="preserve">стипендии </t>
  </si>
  <si>
    <t>хранене на деца от І до ІV клас</t>
  </si>
  <si>
    <t>целодневна организация от І доVІ клас и средищни</t>
  </si>
  <si>
    <t>брой ученици</t>
  </si>
  <si>
    <t>ЕГ"П.Яворов" - Силистра</t>
  </si>
  <si>
    <t>ПМГ"Св.Кл.Охридски"-Силистра</t>
  </si>
  <si>
    <t>СОУ"Н.Вапцаров"-Силистра</t>
  </si>
  <si>
    <t>ОУ"Отец Паисий" - Силистра</t>
  </si>
  <si>
    <t>ОУ"Св.св.Кирил и Методий"-Силистра</t>
  </si>
  <si>
    <t>ОУ"Иван Вазов"-Силистра</t>
  </si>
  <si>
    <t>ОУ"Св.св.Кирил и Методий"-с.Калипетрово</t>
  </si>
  <si>
    <t>ОУ"Св.Кл.Охридски"-с.Иширково</t>
  </si>
  <si>
    <t>ОУ"Св.св.Кирил и Методий"-с.Брадвари</t>
  </si>
  <si>
    <t>ВСИЧКО ЗА УЧИЛИЩА</t>
  </si>
  <si>
    <t>Резерв</t>
  </si>
  <si>
    <t>В С И Ч КО:</t>
  </si>
  <si>
    <t>Изготвил:</t>
  </si>
  <si>
    <t xml:space="preserve">        Началник:</t>
  </si>
  <si>
    <t xml:space="preserve">     / Т. Йвкова/</t>
  </si>
  <si>
    <t xml:space="preserve">    / Нели Иванова/</t>
  </si>
  <si>
    <t>стандарт "Неспециализирани училища, без профес. гимназии"</t>
  </si>
  <si>
    <t>доп. Компонет - 29 000 лв.</t>
  </si>
  <si>
    <t>РАЗЧЕТ НА НАТУРАЛНИ И СТОЙНОСТНИ ПОКАЗАТЕЛИ ПО СТАНДАРТИТЕ ЗА ДЕЛЕГИРАНИТЕ ОТ ДЪРЖАВАТА ДЕЙНОСТИ ЗА  ОБЩООБРАЗОВАТЕЛНИ УЧИЛИЩА ЗА ОБЩИНА СИЛИСТРА -  НАЧАЛЕН ПЛАН 2017 Г.</t>
  </si>
  <si>
    <t>Норматив за създаване на условия за приобщ. Обр.</t>
  </si>
  <si>
    <t>комбинирана форма</t>
  </si>
  <si>
    <t>малко училище до 100</t>
  </si>
  <si>
    <t>малко училище до 150</t>
  </si>
  <si>
    <t>разлика</t>
  </si>
  <si>
    <t>Допълнителен компонент</t>
  </si>
  <si>
    <t xml:space="preserve">Общо </t>
  </si>
  <si>
    <t>Всичко</t>
  </si>
  <si>
    <t xml:space="preserve">  99% от осн комп</t>
  </si>
  <si>
    <t>газ 0,25</t>
  </si>
  <si>
    <t>без гас 0,75</t>
  </si>
  <si>
    <t>2,7732 х 15,26</t>
  </si>
  <si>
    <t>1,3322 х 15,26</t>
  </si>
  <si>
    <t>0,8 х 15,26</t>
  </si>
  <si>
    <t>0.7  х 15,26</t>
  </si>
  <si>
    <t>5,3165x9,16</t>
  </si>
  <si>
    <t>1 x 9,16</t>
  </si>
  <si>
    <t>0,5 x 9,16</t>
  </si>
  <si>
    <t>1,46906 х6,10</t>
  </si>
  <si>
    <t>0,51077х6,10</t>
  </si>
  <si>
    <t xml:space="preserve"> 0.4% осн. Комп</t>
  </si>
  <si>
    <t>Допълнителен компонент   малко населено място</t>
  </si>
  <si>
    <t>Извън ОЦ</t>
  </si>
  <si>
    <t>до 150 уч  (0,5)</t>
  </si>
  <si>
    <t>от 150 до 350 уч(0,10)</t>
  </si>
  <si>
    <t>над 350 (0,4)</t>
  </si>
  <si>
    <t>до 150 (0,2579)</t>
  </si>
  <si>
    <t>150÷350 (0,1381)</t>
  </si>
  <si>
    <t>350÷550 (0,3339)</t>
  </si>
  <si>
    <t>над 550 (0,2699)</t>
  </si>
  <si>
    <t>брой</t>
  </si>
  <si>
    <t>институция</t>
  </si>
  <si>
    <t>норматив за ресурсно</t>
  </si>
  <si>
    <t>групи</t>
  </si>
  <si>
    <t>деца</t>
  </si>
  <si>
    <t>Колона1</t>
  </si>
  <si>
    <t>Колона2</t>
  </si>
  <si>
    <t>Колона3</t>
  </si>
  <si>
    <t>Колона4</t>
  </si>
  <si>
    <t>Колона5</t>
  </si>
  <si>
    <t>Колона6</t>
  </si>
  <si>
    <t>Колона10</t>
  </si>
  <si>
    <t>Колона15</t>
  </si>
  <si>
    <t>Колона16</t>
  </si>
  <si>
    <t>Колона18</t>
  </si>
  <si>
    <t>Колона19</t>
  </si>
  <si>
    <t>Колона20</t>
  </si>
  <si>
    <t>Колона21</t>
  </si>
  <si>
    <t>Колона22</t>
  </si>
  <si>
    <t>Колона23</t>
  </si>
  <si>
    <t>Колона24</t>
  </si>
  <si>
    <t>Колона25</t>
  </si>
  <si>
    <t>Общо</t>
  </si>
  <si>
    <t>Стандарт за паралелка</t>
  </si>
  <si>
    <t>стандарт за ученик</t>
  </si>
  <si>
    <t>самостоятелна</t>
  </si>
  <si>
    <t>стипендии</t>
  </si>
  <si>
    <t>Общо 338</t>
  </si>
  <si>
    <t>Колона8</t>
  </si>
  <si>
    <t>Колона9</t>
  </si>
  <si>
    <t>Колона13</t>
  </si>
  <si>
    <t>Колона14</t>
  </si>
  <si>
    <t>ООС "Младост"</t>
  </si>
  <si>
    <t>ПЗГ "Добруджа"</t>
  </si>
  <si>
    <t>Разлики</t>
  </si>
  <si>
    <t>Стандарт за група</t>
  </si>
  <si>
    <t>компенс. на отрицателни разлики</t>
  </si>
  <si>
    <t>СУ "Дръстър"</t>
  </si>
  <si>
    <t xml:space="preserve">стандарт за ученик </t>
  </si>
  <si>
    <t>Ресурсно подпомагане</t>
  </si>
  <si>
    <t>389 - автобус</t>
  </si>
  <si>
    <t>Общо 324</t>
  </si>
  <si>
    <t>324+338+389</t>
  </si>
  <si>
    <t>Общежитие 3 1 332     2018 - сравнение</t>
  </si>
  <si>
    <t xml:space="preserve"> Общежитие 3 1 332     2017 - сравнение</t>
  </si>
  <si>
    <t>Общежитие 3 1 332     2018 - начален план</t>
  </si>
  <si>
    <t>Бюджет 2018</t>
  </si>
  <si>
    <t>Колона172</t>
  </si>
  <si>
    <t>0</t>
  </si>
  <si>
    <t>Резерв:</t>
  </si>
  <si>
    <t>3*436</t>
  </si>
  <si>
    <t>Спортно училище 
3 1 324</t>
  </si>
  <si>
    <r>
      <t xml:space="preserve">Приложение 4 към Заповед </t>
    </r>
    <r>
      <rPr>
        <sz val="10"/>
        <rFont val="Times New Roman"/>
        <family val="1"/>
        <charset val="204"/>
      </rPr>
      <t>№</t>
    </r>
    <r>
      <rPr>
        <sz val="10"/>
        <rFont val="Arial"/>
        <family val="2"/>
        <charset val="204"/>
      </rPr>
      <t>344/23.02.2018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</si>
</sst>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5" formatCode="_-* #,##0.00\ _л_в_-;\-* #,##0.00\ _л_в_-;_-* &quot;-&quot;??\ _л_в_-;_-@_-"/>
    <numFmt numFmtId="166" formatCode="0.0"/>
    <numFmt numFmtId="167" formatCode="_-* #,##0\ _л_в_-;\-* #,##0\ _л_в_-;_-* &quot;-&quot;??\ _л_в_-;_-@_-"/>
  </numFmts>
  <fonts count="3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color indexed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9"/>
      <name val="Arial"/>
      <family val="2"/>
      <charset val="204"/>
    </font>
    <font>
      <sz val="8"/>
      <color indexed="16"/>
      <name val="Arial"/>
      <family val="2"/>
      <charset val="204"/>
    </font>
    <font>
      <b/>
      <sz val="8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7"/>
      <color indexed="8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0" fillId="0" borderId="0"/>
    <xf numFmtId="165" fontId="33" fillId="0" borderId="0" applyFont="0" applyFill="0" applyBorder="0" applyAlignment="0" applyProtection="0"/>
  </cellStyleXfs>
  <cellXfs count="382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/>
    <xf numFmtId="0" fontId="2" fillId="0" borderId="2" xfId="0" applyFont="1" applyFill="1" applyBorder="1"/>
    <xf numFmtId="0" fontId="8" fillId="0" borderId="0" xfId="0" applyFont="1" applyFill="1" applyBorder="1"/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2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/>
    <xf numFmtId="1" fontId="10" fillId="0" borderId="4" xfId="0" applyNumberFormat="1" applyFont="1" applyFill="1" applyBorder="1"/>
    <xf numFmtId="2" fontId="2" fillId="0" borderId="4" xfId="0" applyNumberFormat="1" applyFont="1" applyFill="1" applyBorder="1"/>
    <xf numFmtId="2" fontId="10" fillId="0" borderId="4" xfId="0" applyNumberFormat="1" applyFont="1" applyFill="1" applyBorder="1"/>
    <xf numFmtId="166" fontId="10" fillId="0" borderId="4" xfId="0" applyNumberFormat="1" applyFont="1" applyFill="1" applyBorder="1"/>
    <xf numFmtId="0" fontId="2" fillId="0" borderId="4" xfId="0" applyFont="1" applyFill="1" applyBorder="1"/>
    <xf numFmtId="1" fontId="2" fillId="0" borderId="4" xfId="0" applyNumberFormat="1" applyFont="1" applyFill="1" applyBorder="1"/>
    <xf numFmtId="1" fontId="11" fillId="0" borderId="4" xfId="0" applyNumberFormat="1" applyFont="1" applyFill="1" applyBorder="1"/>
    <xf numFmtId="1" fontId="5" fillId="0" borderId="0" xfId="0" applyNumberFormat="1" applyFont="1" applyFill="1" applyBorder="1"/>
    <xf numFmtId="1" fontId="2" fillId="0" borderId="0" xfId="0" applyNumberFormat="1" applyFont="1" applyFill="1" applyBorder="1"/>
    <xf numFmtId="0" fontId="10" fillId="0" borderId="0" xfId="0" applyFont="1" applyBorder="1" applyAlignment="1">
      <alignment vertical="center" wrapText="1"/>
    </xf>
    <xf numFmtId="0" fontId="14" fillId="0" borderId="0" xfId="0" applyFont="1" applyBorder="1"/>
    <xf numFmtId="0" fontId="10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2" fontId="5" fillId="0" borderId="0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/>
    <xf numFmtId="1" fontId="5" fillId="0" borderId="7" xfId="0" applyNumberFormat="1" applyFont="1" applyFill="1" applyBorder="1"/>
    <xf numFmtId="2" fontId="5" fillId="0" borderId="7" xfId="0" applyNumberFormat="1" applyFont="1" applyFill="1" applyBorder="1"/>
    <xf numFmtId="1" fontId="5" fillId="0" borderId="8" xfId="0" applyNumberFormat="1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/>
    <xf numFmtId="1" fontId="16" fillId="0" borderId="0" xfId="0" applyNumberFormat="1" applyFont="1" applyFill="1" applyBorder="1"/>
    <xf numFmtId="0" fontId="13" fillId="0" borderId="0" xfId="0" applyFont="1" applyFill="1" applyBorder="1"/>
    <xf numFmtId="0" fontId="2" fillId="0" borderId="0" xfId="0" applyFont="1" applyFill="1" applyBorder="1"/>
    <xf numFmtId="0" fontId="17" fillId="0" borderId="0" xfId="0" applyFont="1"/>
    <xf numFmtId="0" fontId="18" fillId="0" borderId="0" xfId="0" applyFont="1"/>
    <xf numFmtId="0" fontId="19" fillId="0" borderId="0" xfId="0" applyFont="1" applyFill="1" applyBorder="1"/>
    <xf numFmtId="0" fontId="17" fillId="0" borderId="0" xfId="0" applyFont="1" applyBorder="1"/>
    <xf numFmtId="0" fontId="20" fillId="0" borderId="0" xfId="0" applyFont="1"/>
    <xf numFmtId="0" fontId="9" fillId="0" borderId="0" xfId="0" applyFont="1" applyBorder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Fill="1" applyBorder="1"/>
    <xf numFmtId="9" fontId="11" fillId="0" borderId="0" xfId="0" applyNumberFormat="1" applyFont="1" applyFill="1" applyBorder="1"/>
    <xf numFmtId="0" fontId="11" fillId="0" borderId="0" xfId="0" applyFont="1" applyFill="1" applyBorder="1" applyAlignment="1">
      <alignment vertical="center" wrapText="1"/>
    </xf>
    <xf numFmtId="0" fontId="11" fillId="0" borderId="0" xfId="0" applyFont="1"/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0" fillId="0" borderId="0" xfId="0" applyFont="1" applyBorder="1"/>
    <xf numFmtId="0" fontId="2" fillId="0" borderId="0" xfId="0" applyFont="1" applyFill="1" applyBorder="1" applyAlignment="1"/>
    <xf numFmtId="9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0" fontId="6" fillId="0" borderId="9" xfId="0" applyFont="1" applyFill="1" applyBorder="1" applyAlignment="1">
      <alignment vertical="center" wrapText="1"/>
    </xf>
    <xf numFmtId="1" fontId="10" fillId="0" borderId="9" xfId="0" applyNumberFormat="1" applyFont="1" applyFill="1" applyBorder="1"/>
    <xf numFmtId="1" fontId="12" fillId="0" borderId="10" xfId="0" applyNumberFormat="1" applyFont="1" applyFill="1" applyBorder="1"/>
    <xf numFmtId="0" fontId="2" fillId="2" borderId="5" xfId="0" applyFont="1" applyFill="1" applyBorder="1" applyAlignment="1">
      <alignment horizontal="center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/>
    <xf numFmtId="1" fontId="10" fillId="2" borderId="4" xfId="0" applyNumberFormat="1" applyFont="1" applyFill="1" applyBorder="1"/>
    <xf numFmtId="2" fontId="2" fillId="2" borderId="4" xfId="0" applyNumberFormat="1" applyFont="1" applyFill="1" applyBorder="1"/>
    <xf numFmtId="2" fontId="10" fillId="2" borderId="4" xfId="0" applyNumberFormat="1" applyFont="1" applyFill="1" applyBorder="1"/>
    <xf numFmtId="166" fontId="10" fillId="2" borderId="4" xfId="0" applyNumberFormat="1" applyFont="1" applyFill="1" applyBorder="1"/>
    <xf numFmtId="0" fontId="2" fillId="2" borderId="4" xfId="0" applyFont="1" applyFill="1" applyBorder="1"/>
    <xf numFmtId="1" fontId="2" fillId="2" borderId="4" xfId="0" applyNumberFormat="1" applyFont="1" applyFill="1" applyBorder="1"/>
    <xf numFmtId="1" fontId="11" fillId="2" borderId="4" xfId="0" applyNumberFormat="1" applyFont="1" applyFill="1" applyBorder="1"/>
    <xf numFmtId="1" fontId="10" fillId="2" borderId="9" xfId="0" applyNumberFormat="1" applyFont="1" applyFill="1" applyBorder="1"/>
    <xf numFmtId="1" fontId="12" fillId="2" borderId="10" xfId="0" applyNumberFormat="1" applyFont="1" applyFill="1" applyBorder="1"/>
    <xf numFmtId="0" fontId="10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5" fillId="2" borderId="4" xfId="0" applyFont="1" applyFill="1" applyBorder="1"/>
    <xf numFmtId="1" fontId="2" fillId="2" borderId="4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/>
    <xf numFmtId="1" fontId="12" fillId="3" borderId="4" xfId="0" applyNumberFormat="1" applyFont="1" applyFill="1" applyBorder="1"/>
    <xf numFmtId="2" fontId="5" fillId="3" borderId="4" xfId="0" applyNumberFormat="1" applyFont="1" applyFill="1" applyBorder="1"/>
    <xf numFmtId="2" fontId="12" fillId="3" borderId="4" xfId="0" applyNumberFormat="1" applyFont="1" applyFill="1" applyBorder="1"/>
    <xf numFmtId="1" fontId="5" fillId="3" borderId="4" xfId="0" applyNumberFormat="1" applyFont="1" applyFill="1" applyBorder="1"/>
    <xf numFmtId="1" fontId="12" fillId="3" borderId="9" xfId="0" applyNumberFormat="1" applyFont="1" applyFill="1" applyBorder="1"/>
    <xf numFmtId="3" fontId="12" fillId="3" borderId="1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4" borderId="0" xfId="0" applyFont="1" applyFill="1"/>
    <xf numFmtId="0" fontId="2" fillId="4" borderId="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1" fontId="7" fillId="0" borderId="0" xfId="0" applyNumberFormat="1" applyFont="1"/>
    <xf numFmtId="49" fontId="17" fillId="0" borderId="0" xfId="0" applyNumberFormat="1" applyFont="1"/>
    <xf numFmtId="49" fontId="24" fillId="0" borderId="0" xfId="0" applyNumberFormat="1" applyFont="1"/>
    <xf numFmtId="49" fontId="7" fillId="0" borderId="0" xfId="0" applyNumberFormat="1" applyFont="1"/>
    <xf numFmtId="1" fontId="2" fillId="0" borderId="0" xfId="0" applyNumberFormat="1" applyFont="1"/>
    <xf numFmtId="0" fontId="9" fillId="5" borderId="4" xfId="0" applyFont="1" applyFill="1" applyBorder="1" applyAlignment="1">
      <alignment vertical="center" wrapText="1"/>
    </xf>
    <xf numFmtId="1" fontId="10" fillId="5" borderId="4" xfId="0" applyNumberFormat="1" applyFont="1" applyFill="1" applyBorder="1"/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vertical="center" wrapText="1"/>
    </xf>
    <xf numFmtId="9" fontId="2" fillId="5" borderId="13" xfId="0" applyNumberFormat="1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1" fontId="13" fillId="0" borderId="0" xfId="0" applyNumberFormat="1" applyFont="1" applyFill="1" applyBorder="1"/>
    <xf numFmtId="0" fontId="2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" fontId="25" fillId="5" borderId="4" xfId="0" applyNumberFormat="1" applyFont="1" applyFill="1" applyBorder="1"/>
    <xf numFmtId="0" fontId="25" fillId="2" borderId="4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vertical="center" wrapText="1"/>
    </xf>
    <xf numFmtId="1" fontId="27" fillId="0" borderId="0" xfId="0" applyNumberFormat="1" applyFont="1" applyFill="1" applyBorder="1"/>
    <xf numFmtId="1" fontId="26" fillId="0" borderId="0" xfId="0" applyNumberFormat="1" applyFont="1"/>
    <xf numFmtId="0" fontId="26" fillId="0" borderId="0" xfId="0" applyFont="1"/>
    <xf numFmtId="49" fontId="26" fillId="0" borderId="0" xfId="0" applyNumberFormat="1" applyFont="1"/>
    <xf numFmtId="0" fontId="26" fillId="5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/>
    <xf numFmtId="0" fontId="22" fillId="0" borderId="0" xfId="0" applyFont="1"/>
    <xf numFmtId="0" fontId="21" fillId="0" borderId="0" xfId="0" applyFont="1" applyAlignment="1">
      <alignment horizontal="right" wrapText="1"/>
    </xf>
    <xf numFmtId="0" fontId="17" fillId="0" borderId="0" xfId="0" applyFont="1" applyFill="1" applyBorder="1"/>
    <xf numFmtId="0" fontId="18" fillId="0" borderId="0" xfId="0" applyFont="1" applyAlignment="1">
      <alignment horizontal="left"/>
    </xf>
    <xf numFmtId="0" fontId="18" fillId="0" borderId="0" xfId="0" applyFont="1" applyFill="1"/>
    <xf numFmtId="49" fontId="26" fillId="5" borderId="4" xfId="0" applyNumberFormat="1" applyFont="1" applyFill="1" applyBorder="1" applyAlignment="1">
      <alignment vertical="center" wrapText="1"/>
    </xf>
    <xf numFmtId="0" fontId="28" fillId="5" borderId="4" xfId="0" applyFont="1" applyFill="1" applyBorder="1"/>
    <xf numFmtId="2" fontId="28" fillId="5" borderId="7" xfId="0" applyNumberFormat="1" applyFont="1" applyFill="1" applyBorder="1"/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1" fontId="12" fillId="6" borderId="10" xfId="0" applyNumberFormat="1" applyFont="1" applyFill="1" applyBorder="1"/>
    <xf numFmtId="1" fontId="10" fillId="7" borderId="4" xfId="0" applyNumberFormat="1" applyFont="1" applyFill="1" applyBorder="1"/>
    <xf numFmtId="1" fontId="10" fillId="8" borderId="4" xfId="0" applyNumberFormat="1" applyFont="1" applyFill="1" applyBorder="1"/>
    <xf numFmtId="0" fontId="7" fillId="0" borderId="4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/>
    <xf numFmtId="0" fontId="7" fillId="0" borderId="9" xfId="0" applyFont="1" applyFill="1" applyBorder="1" applyAlignment="1">
      <alignment horizontal="center" vertical="center" wrapText="1"/>
    </xf>
    <xf numFmtId="1" fontId="10" fillId="7" borderId="9" xfId="0" applyNumberFormat="1" applyFont="1" applyFill="1" applyBorder="1"/>
    <xf numFmtId="1" fontId="10" fillId="8" borderId="9" xfId="0" applyNumberFormat="1" applyFont="1" applyFill="1" applyBorder="1"/>
    <xf numFmtId="1" fontId="12" fillId="6" borderId="19" xfId="0" applyNumberFormat="1" applyFont="1" applyFill="1" applyBorder="1"/>
    <xf numFmtId="3" fontId="12" fillId="6" borderId="19" xfId="0" applyNumberFormat="1" applyFont="1" applyFill="1" applyBorder="1"/>
    <xf numFmtId="1" fontId="12" fillId="7" borderId="4" xfId="0" applyNumberFormat="1" applyFont="1" applyFill="1" applyBorder="1"/>
    <xf numFmtId="3" fontId="12" fillId="7" borderId="4" xfId="0" applyNumberFormat="1" applyFont="1" applyFill="1" applyBorder="1"/>
    <xf numFmtId="1" fontId="12" fillId="2" borderId="19" xfId="0" applyNumberFormat="1" applyFont="1" applyFill="1" applyBorder="1"/>
    <xf numFmtId="1" fontId="12" fillId="0" borderId="19" xfId="0" applyNumberFormat="1" applyFont="1" applyFill="1" applyBorder="1"/>
    <xf numFmtId="1" fontId="12" fillId="2" borderId="4" xfId="0" applyNumberFormat="1" applyFont="1" applyFill="1" applyBorder="1"/>
    <xf numFmtId="3" fontId="12" fillId="3" borderId="4" xfId="0" applyNumberFormat="1" applyFont="1" applyFill="1" applyBorder="1"/>
    <xf numFmtId="1" fontId="12" fillId="0" borderId="21" xfId="0" applyNumberFormat="1" applyFont="1" applyFill="1" applyBorder="1"/>
    <xf numFmtId="3" fontId="10" fillId="7" borderId="4" xfId="0" applyNumberFormat="1" applyFont="1" applyFill="1" applyBorder="1"/>
    <xf numFmtId="1" fontId="12" fillId="9" borderId="4" xfId="0" applyNumberFormat="1" applyFont="1" applyFill="1" applyBorder="1"/>
    <xf numFmtId="3" fontId="12" fillId="9" borderId="4" xfId="0" applyNumberFormat="1" applyFont="1" applyFill="1" applyBorder="1"/>
    <xf numFmtId="1" fontId="13" fillId="9" borderId="0" xfId="0" applyNumberFormat="1" applyFont="1" applyFill="1" applyBorder="1"/>
    <xf numFmtId="1" fontId="12" fillId="9" borderId="19" xfId="0" applyNumberFormat="1" applyFont="1" applyFill="1" applyBorder="1"/>
    <xf numFmtId="4" fontId="26" fillId="5" borderId="4" xfId="0" applyNumberFormat="1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2" fontId="26" fillId="5" borderId="13" xfId="0" applyNumberFormat="1" applyFont="1" applyFill="1" applyBorder="1" applyAlignment="1">
      <alignment vertical="center" wrapText="1"/>
    </xf>
    <xf numFmtId="0" fontId="6" fillId="0" borderId="39" xfId="0" applyFont="1" applyBorder="1"/>
    <xf numFmtId="0" fontId="31" fillId="0" borderId="18" xfId="0" applyFont="1" applyFill="1" applyBorder="1" applyAlignment="1">
      <alignment horizontal="left" vertical="center" wrapText="1"/>
    </xf>
    <xf numFmtId="0" fontId="31" fillId="0" borderId="31" xfId="0" applyFont="1" applyFill="1" applyBorder="1" applyAlignment="1">
      <alignment horizontal="left" vertical="center" wrapText="1"/>
    </xf>
    <xf numFmtId="0" fontId="30" fillId="0" borderId="16" xfId="1" applyBorder="1"/>
    <xf numFmtId="0" fontId="30" fillId="0" borderId="13" xfId="1" applyBorder="1"/>
    <xf numFmtId="0" fontId="30" fillId="0" borderId="47" xfId="1" applyBorder="1"/>
    <xf numFmtId="3" fontId="0" fillId="0" borderId="24" xfId="0" applyNumberFormat="1" applyBorder="1"/>
    <xf numFmtId="3" fontId="0" fillId="0" borderId="43" xfId="0" applyNumberFormat="1" applyBorder="1"/>
    <xf numFmtId="0" fontId="0" fillId="0" borderId="18" xfId="0" applyBorder="1"/>
    <xf numFmtId="0" fontId="31" fillId="0" borderId="4" xfId="0" applyFont="1" applyFill="1" applyBorder="1" applyAlignment="1">
      <alignment horizontal="left" vertical="center" wrapText="1"/>
    </xf>
    <xf numFmtId="3" fontId="31" fillId="0" borderId="4" xfId="0" applyNumberFormat="1" applyFont="1" applyFill="1" applyBorder="1" applyAlignment="1">
      <alignment horizontal="left" vertical="center" wrapText="1"/>
    </xf>
    <xf numFmtId="3" fontId="30" fillId="0" borderId="4" xfId="1" applyNumberFormat="1" applyBorder="1"/>
    <xf numFmtId="2" fontId="14" fillId="0" borderId="50" xfId="1" applyNumberFormat="1" applyFont="1" applyFill="1" applyBorder="1" applyAlignment="1">
      <alignment horizontal="center" vertical="center" wrapText="1"/>
    </xf>
    <xf numFmtId="2" fontId="14" fillId="0" borderId="28" xfId="1" applyNumberFormat="1" applyFont="1" applyFill="1" applyBorder="1" applyAlignment="1">
      <alignment horizontal="center" vertical="center" wrapText="1"/>
    </xf>
    <xf numFmtId="0" fontId="14" fillId="0" borderId="30" xfId="1" applyNumberFormat="1" applyFont="1" applyFill="1" applyBorder="1" applyAlignment="1">
      <alignment horizontal="center" vertical="center" wrapText="1"/>
    </xf>
    <xf numFmtId="0" fontId="14" fillId="0" borderId="53" xfId="1" applyNumberFormat="1" applyFont="1" applyFill="1" applyBorder="1" applyAlignment="1">
      <alignment horizontal="center" vertical="center" wrapText="1"/>
    </xf>
    <xf numFmtId="1" fontId="14" fillId="0" borderId="8" xfId="1" applyNumberFormat="1" applyFont="1" applyFill="1" applyBorder="1" applyAlignment="1">
      <alignment horizontal="center" vertical="center" wrapText="1"/>
    </xf>
    <xf numFmtId="3" fontId="0" fillId="0" borderId="4" xfId="0" applyNumberFormat="1" applyBorder="1"/>
    <xf numFmtId="3" fontId="6" fillId="0" borderId="4" xfId="0" applyNumberFormat="1" applyFont="1" applyBorder="1"/>
    <xf numFmtId="0" fontId="0" fillId="0" borderId="4" xfId="0" applyBorder="1"/>
    <xf numFmtId="0" fontId="31" fillId="0" borderId="3" xfId="0" applyFont="1" applyFill="1" applyBorder="1" applyAlignment="1">
      <alignment horizontal="left" vertical="center" wrapText="1"/>
    </xf>
    <xf numFmtId="0" fontId="0" fillId="0" borderId="12" xfId="0" applyBorder="1"/>
    <xf numFmtId="3" fontId="6" fillId="0" borderId="3" xfId="0" applyNumberFormat="1" applyFont="1" applyBorder="1"/>
    <xf numFmtId="3" fontId="1" fillId="0" borderId="3" xfId="0" applyNumberFormat="1" applyFont="1" applyFill="1" applyBorder="1" applyAlignment="1" applyProtection="1"/>
    <xf numFmtId="3" fontId="31" fillId="0" borderId="3" xfId="0" applyNumberFormat="1" applyFont="1" applyFill="1" applyBorder="1" applyAlignment="1">
      <alignment horizontal="left" vertical="center" wrapText="1"/>
    </xf>
    <xf numFmtId="3" fontId="0" fillId="0" borderId="3" xfId="0" applyNumberFormat="1" applyBorder="1"/>
    <xf numFmtId="0" fontId="22" fillId="0" borderId="26" xfId="0" applyFont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left" vertical="center" wrapText="1"/>
    </xf>
    <xf numFmtId="2" fontId="14" fillId="0" borderId="23" xfId="1" applyNumberFormat="1" applyFont="1" applyFill="1" applyBorder="1" applyAlignment="1">
      <alignment horizontal="center" vertical="center" wrapText="1"/>
    </xf>
    <xf numFmtId="1" fontId="14" fillId="0" borderId="22" xfId="1" applyNumberFormat="1" applyFont="1" applyFill="1" applyBorder="1" applyAlignment="1">
      <alignment horizontal="center" vertical="center" wrapText="1"/>
    </xf>
    <xf numFmtId="2" fontId="14" fillId="0" borderId="55" xfId="1" applyNumberFormat="1" applyFont="1" applyFill="1" applyBorder="1" applyAlignment="1">
      <alignment horizontal="center" vertical="center" wrapText="1"/>
    </xf>
    <xf numFmtId="0" fontId="14" fillId="0" borderId="22" xfId="1" applyNumberFormat="1" applyFont="1" applyFill="1" applyBorder="1" applyAlignment="1">
      <alignment horizontal="center" vertical="center" wrapText="1"/>
    </xf>
    <xf numFmtId="0" fontId="6" fillId="0" borderId="56" xfId="0" applyFont="1" applyBorder="1"/>
    <xf numFmtId="0" fontId="6" fillId="0" borderId="57" xfId="0" applyFont="1" applyBorder="1"/>
    <xf numFmtId="0" fontId="6" fillId="0" borderId="55" xfId="0" applyFont="1" applyBorder="1"/>
    <xf numFmtId="0" fontId="6" fillId="0" borderId="22" xfId="0" applyFont="1" applyBorder="1"/>
    <xf numFmtId="0" fontId="6" fillId="0" borderId="23" xfId="0" applyFont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0" xfId="0" applyFont="1" applyBorder="1"/>
    <xf numFmtId="3" fontId="31" fillId="0" borderId="31" xfId="0" applyNumberFormat="1" applyFont="1" applyFill="1" applyBorder="1" applyAlignment="1">
      <alignment horizontal="left" vertical="center" wrapText="1"/>
    </xf>
    <xf numFmtId="3" fontId="30" fillId="0" borderId="16" xfId="1" applyNumberFormat="1" applyBorder="1"/>
    <xf numFmtId="3" fontId="30" fillId="0" borderId="13" xfId="1" applyNumberFormat="1" applyBorder="1"/>
    <xf numFmtId="3" fontId="30" fillId="0" borderId="47" xfId="1" applyNumberFormat="1" applyBorder="1"/>
    <xf numFmtId="3" fontId="30" fillId="0" borderId="31" xfId="1" applyNumberFormat="1" applyBorder="1"/>
    <xf numFmtId="3" fontId="0" fillId="0" borderId="16" xfId="0" applyNumberFormat="1" applyBorder="1"/>
    <xf numFmtId="3" fontId="30" fillId="0" borderId="14" xfId="1" applyNumberFormat="1" applyBorder="1"/>
    <xf numFmtId="3" fontId="30" fillId="0" borderId="17" xfId="1" applyNumberFormat="1" applyBorder="1"/>
    <xf numFmtId="3" fontId="0" fillId="0" borderId="18" xfId="0" applyNumberFormat="1" applyBorder="1"/>
    <xf numFmtId="0" fontId="31" fillId="0" borderId="34" xfId="0" applyFont="1" applyFill="1" applyBorder="1" applyAlignment="1">
      <alignment horizontal="left" vertical="center" wrapText="1"/>
    </xf>
    <xf numFmtId="3" fontId="0" fillId="0" borderId="25" xfId="0" applyNumberFormat="1" applyBorder="1"/>
    <xf numFmtId="0" fontId="6" fillId="0" borderId="25" xfId="0" applyFont="1" applyBorder="1"/>
    <xf numFmtId="0" fontId="0" fillId="0" borderId="14" xfId="0" applyBorder="1"/>
    <xf numFmtId="3" fontId="30" fillId="10" borderId="4" xfId="1" applyNumberFormat="1" applyFill="1" applyBorder="1"/>
    <xf numFmtId="0" fontId="6" fillId="0" borderId="39" xfId="0" applyFont="1" applyBorder="1" applyAlignment="1">
      <alignment horizontal="center"/>
    </xf>
    <xf numFmtId="0" fontId="32" fillId="0" borderId="41" xfId="0" applyFont="1" applyFill="1" applyBorder="1" applyAlignment="1">
      <alignment horizontal="left" vertical="center" wrapText="1"/>
    </xf>
    <xf numFmtId="3" fontId="0" fillId="0" borderId="41" xfId="0" applyNumberFormat="1" applyBorder="1"/>
    <xf numFmtId="3" fontId="0" fillId="0" borderId="35" xfId="0" applyNumberFormat="1" applyBorder="1"/>
    <xf numFmtId="1" fontId="0" fillId="0" borderId="14" xfId="0" applyNumberFormat="1" applyBorder="1"/>
    <xf numFmtId="0" fontId="9" fillId="0" borderId="33" xfId="0" applyFont="1" applyBorder="1"/>
    <xf numFmtId="0" fontId="0" fillId="0" borderId="25" xfId="0" applyBorder="1"/>
    <xf numFmtId="1" fontId="0" fillId="0" borderId="25" xfId="0" applyNumberFormat="1" applyBorder="1"/>
    <xf numFmtId="1" fontId="22" fillId="0" borderId="25" xfId="0" applyNumberFormat="1" applyFont="1" applyBorder="1"/>
    <xf numFmtId="0" fontId="22" fillId="0" borderId="25" xfId="0" applyFont="1" applyBorder="1"/>
    <xf numFmtId="1" fontId="22" fillId="0" borderId="54" xfId="0" applyNumberFormat="1" applyFont="1" applyBorder="1"/>
    <xf numFmtId="0" fontId="0" fillId="0" borderId="58" xfId="0" applyBorder="1"/>
    <xf numFmtId="0" fontId="31" fillId="0" borderId="43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167" fontId="6" fillId="0" borderId="48" xfId="2" applyNumberFormat="1" applyFont="1" applyBorder="1" applyAlignment="1">
      <alignment horizontal="left" vertical="center"/>
    </xf>
    <xf numFmtId="0" fontId="32" fillId="0" borderId="6" xfId="0" applyFont="1" applyFill="1" applyBorder="1" applyAlignment="1">
      <alignment horizontal="left" vertical="center" wrapText="1"/>
    </xf>
    <xf numFmtId="3" fontId="32" fillId="0" borderId="7" xfId="0" applyNumberFormat="1" applyFont="1" applyFill="1" applyBorder="1" applyAlignment="1">
      <alignment horizontal="left" vertical="center" wrapText="1"/>
    </xf>
    <xf numFmtId="3" fontId="34" fillId="0" borderId="7" xfId="0" applyNumberFormat="1" applyFont="1" applyFill="1" applyBorder="1" applyAlignment="1" applyProtection="1"/>
    <xf numFmtId="3" fontId="35" fillId="0" borderId="7" xfId="0" applyNumberFormat="1" applyFont="1" applyBorder="1"/>
    <xf numFmtId="3" fontId="0" fillId="0" borderId="50" xfId="0" applyNumberFormat="1" applyBorder="1"/>
    <xf numFmtId="167" fontId="0" fillId="0" borderId="49" xfId="2" applyNumberFormat="1" applyFont="1" applyBorder="1"/>
    <xf numFmtId="3" fontId="36" fillId="0" borderId="4" xfId="1" applyNumberFormat="1" applyFont="1" applyFill="1" applyBorder="1"/>
    <xf numFmtId="0" fontId="0" fillId="0" borderId="0" xfId="0" applyAlignment="1">
      <alignment horizontal="center" vertical="center"/>
    </xf>
    <xf numFmtId="1" fontId="9" fillId="0" borderId="25" xfId="0" applyNumberFormat="1" applyFont="1" applyBorder="1"/>
    <xf numFmtId="0" fontId="9" fillId="0" borderId="0" xfId="0" applyFont="1"/>
    <xf numFmtId="0" fontId="6" fillId="0" borderId="26" xfId="0" applyFont="1" applyBorder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6" fillId="0" borderId="35" xfId="0" applyFont="1" applyFill="1" applyBorder="1" applyAlignment="1">
      <alignment vertical="center" wrapText="1"/>
    </xf>
    <xf numFmtId="0" fontId="6" fillId="0" borderId="39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21" fillId="0" borderId="0" xfId="0" applyFont="1" applyAlignment="1">
      <alignment horizontal="right" wrapText="1"/>
    </xf>
    <xf numFmtId="0" fontId="17" fillId="0" borderId="0" xfId="0" applyFont="1" applyFill="1" applyBorder="1"/>
    <xf numFmtId="0" fontId="17" fillId="0" borderId="0" xfId="0" applyFont="1"/>
    <xf numFmtId="0" fontId="18" fillId="0" borderId="0" xfId="0" applyFont="1" applyAlignment="1">
      <alignment horizontal="left"/>
    </xf>
    <xf numFmtId="0" fontId="22" fillId="0" borderId="0" xfId="0" applyFont="1"/>
    <xf numFmtId="0" fontId="18" fillId="0" borderId="0" xfId="0" applyFont="1"/>
    <xf numFmtId="0" fontId="18" fillId="0" borderId="0" xfId="0" applyFont="1" applyFill="1"/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10" fontId="2" fillId="5" borderId="13" xfId="0" applyNumberFormat="1" applyFont="1" applyFill="1" applyBorder="1" applyAlignment="1">
      <alignment horizontal="center" vertical="center" wrapText="1"/>
    </xf>
    <xf numFmtId="10" fontId="2" fillId="5" borderId="18" xfId="0" applyNumberFormat="1" applyFont="1" applyFill="1" applyBorder="1" applyAlignment="1">
      <alignment horizontal="center" vertical="center" wrapText="1"/>
    </xf>
    <xf numFmtId="10" fontId="2" fillId="5" borderId="16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0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4" fontId="26" fillId="5" borderId="9" xfId="0" applyNumberFormat="1" applyFont="1" applyFill="1" applyBorder="1" applyAlignment="1">
      <alignment vertical="center" wrapText="1"/>
    </xf>
    <xf numFmtId="4" fontId="26" fillId="5" borderId="20" xfId="0" applyNumberFormat="1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36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6" fillId="9" borderId="41" xfId="0" applyFont="1" applyFill="1" applyBorder="1" applyAlignment="1">
      <alignment vertical="center" wrapText="1"/>
    </xf>
    <xf numFmtId="0" fontId="6" fillId="9" borderId="42" xfId="0" applyFont="1" applyFill="1" applyBorder="1" applyAlignment="1">
      <alignment vertical="center" wrapText="1"/>
    </xf>
    <xf numFmtId="0" fontId="6" fillId="9" borderId="43" xfId="0" applyFont="1" applyFill="1" applyBorder="1" applyAlignment="1">
      <alignment vertical="center" wrapText="1"/>
    </xf>
    <xf numFmtId="0" fontId="6" fillId="0" borderId="41" xfId="0" applyFont="1" applyFill="1" applyBorder="1" applyAlignment="1">
      <alignment vertical="center" wrapText="1"/>
    </xf>
    <xf numFmtId="0" fontId="6" fillId="0" borderId="42" xfId="0" applyFont="1" applyFill="1" applyBorder="1" applyAlignment="1">
      <alignment vertical="center" wrapText="1"/>
    </xf>
    <xf numFmtId="0" fontId="6" fillId="0" borderId="43" xfId="0" applyFont="1" applyFill="1" applyBorder="1" applyAlignment="1">
      <alignment vertical="center" wrapText="1"/>
    </xf>
    <xf numFmtId="0" fontId="22" fillId="0" borderId="41" xfId="1" applyFont="1" applyFill="1" applyBorder="1" applyAlignment="1">
      <alignment horizontal="center" vertical="center" wrapText="1"/>
    </xf>
    <xf numFmtId="0" fontId="22" fillId="0" borderId="51" xfId="1" applyFont="1" applyFill="1" applyBorder="1" applyAlignment="1">
      <alignment horizontal="center" vertical="center" wrapText="1"/>
    </xf>
    <xf numFmtId="0" fontId="22" fillId="0" borderId="44" xfId="1" applyFont="1" applyFill="1" applyBorder="1" applyAlignment="1">
      <alignment horizontal="center" vertical="center" wrapText="1"/>
    </xf>
    <xf numFmtId="0" fontId="22" fillId="0" borderId="45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2" fillId="0" borderId="35" xfId="1" applyFont="1" applyFill="1" applyBorder="1" applyAlignment="1">
      <alignment horizontal="center" vertical="center" wrapText="1"/>
    </xf>
    <xf numFmtId="0" fontId="22" fillId="0" borderId="32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22" fillId="0" borderId="34" xfId="1" applyFont="1" applyFill="1" applyBorder="1" applyAlignment="1">
      <alignment horizontal="center" vertical="center" wrapText="1"/>
    </xf>
    <xf numFmtId="0" fontId="2" fillId="0" borderId="56" xfId="0" applyFont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2" fillId="0" borderId="40" xfId="1" applyFont="1" applyFill="1" applyBorder="1" applyAlignment="1">
      <alignment horizontal="center" vertical="center" wrapText="1"/>
    </xf>
    <xf numFmtId="0" fontId="22" fillId="0" borderId="46" xfId="1" applyFont="1" applyFill="1" applyBorder="1" applyAlignment="1">
      <alignment horizontal="center" vertical="center" wrapText="1"/>
    </xf>
    <xf numFmtId="0" fontId="22" fillId="0" borderId="27" xfId="1" applyFont="1" applyFill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22" fillId="0" borderId="54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 wrapText="1"/>
    </xf>
    <xf numFmtId="0" fontId="22" fillId="0" borderId="45" xfId="0" applyFont="1" applyBorder="1" applyAlignment="1">
      <alignment horizontal="center" vertical="center" wrapText="1"/>
    </xf>
    <xf numFmtId="0" fontId="22" fillId="0" borderId="39" xfId="1" applyFont="1" applyFill="1" applyBorder="1" applyAlignment="1">
      <alignment horizontal="center" vertical="center" wrapText="1"/>
    </xf>
  </cellXfs>
  <cellStyles count="3">
    <cellStyle name="Запетая" xfId="2" builtinId="3"/>
    <cellStyle name="Нормален" xfId="0" builtinId="0"/>
    <cellStyle name="Нормален 2" xfId="1"/>
  </cellStyles>
  <dxfs count="95">
    <dxf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/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 style="medium">
          <color indexed="64"/>
        </right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/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medium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medium">
          <color indexed="64"/>
        </top>
      </border>
    </dxf>
    <dxf>
      <border outline="0">
        <right style="thin">
          <color indexed="64"/>
        </right>
        <bottom style="thin">
          <color indexed="64"/>
        </bottom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7" formatCode="_-* #,##0\ _л_в_-;\-* #,##0\ _л_в_-;_-* &quot;-&quot;??\ _л_в_-;_-@_-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/>
      </font>
      <numFmt numFmtId="167" formatCode="_-* #,##0\ _л_в_-;\-* #,##0\ _л_в_-;_-* &quot;-&quot;??\ _л_в_-;_-@_-"/>
      <alignment horizontal="left" vertical="center" textRotation="0" wrapText="0" indent="0" justifyLastLine="0" shrinkToFit="0" readingOrder="0"/>
      <border diagonalUp="0" diagonalDown="0" outline="0">
        <left style="medium">
          <color auto="1"/>
        </left>
        <right/>
        <top/>
        <bottom/>
      </border>
    </dxf>
    <dxf>
      <numFmt numFmtId="3" formatCode="#,##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 outline="0">
        <left style="medium">
          <color auto="1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/>
      </font>
      <numFmt numFmtId="3" formatCode="#,##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numFmt numFmtId="3" formatCode="#,##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numFmt numFmtId="3" formatCode="#,##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numFmt numFmtId="3" formatCode="#,##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  <protection locked="1" hidden="0"/>
    </dxf>
    <dxf>
      <numFmt numFmtId="3" formatCode="#,##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medium">
          <color auto="1"/>
        </right>
        <top/>
        <bottom/>
        <vertical style="medium">
          <color auto="1"/>
        </vertical>
        <horizontal/>
      </border>
    </dxf>
    <dxf>
      <border outline="0">
        <top style="thin">
          <color indexed="64"/>
        </top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  <dxf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numFmt numFmtId="3" formatCode="#,##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1" hidden="0"/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indexed="64"/>
        </top>
      </border>
    </dxf>
    <dxf>
      <border outline="0"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" displayName="Таблица3" ref="A3:I6" totalsRowCount="1" headerRowBorderDxfId="94" tableBorderDxfId="93" totalsRowBorderDxfId="92">
  <autoFilter ref="A3:I5"/>
  <tableColumns count="9">
    <tableColumn id="1" name="Колона1" totalsRowLabel="Общо" dataDxfId="91" totalsRowDxfId="90"/>
    <tableColumn id="2" name="Колона2" totalsRowFunction="sum" dataDxfId="89" totalsRowDxfId="88"/>
    <tableColumn id="3" name="Колона3" totalsRowFunction="sum" dataDxfId="87" totalsRowDxfId="86" dataCellStyle="Нормален 2"/>
    <tableColumn id="4" name="Колона4" totalsRowFunction="sum" dataDxfId="85" totalsRowDxfId="84" dataCellStyle="Нормален 2">
      <calculatedColumnFormula>C4*$D$2</calculatedColumnFormula>
    </tableColumn>
    <tableColumn id="5" name="Колона5" totalsRowFunction="sum" dataDxfId="83" totalsRowDxfId="82" dataCellStyle="Нормален 2"/>
    <tableColumn id="6" name="Колона6" totalsRowFunction="sum" dataDxfId="81" totalsRowDxfId="80" dataCellStyle="Нормален 2">
      <calculatedColumnFormula>E4*$F$2</calculatedColumnFormula>
    </tableColumn>
    <tableColumn id="8" name="Колона8" totalsRowFunction="sum" dataDxfId="79" totalsRowDxfId="78">
      <calculatedColumnFormula>Таблица3[[#This Row],[Колона2]]+Таблица3[[#This Row],[Колона4]]+Таблица3[[#This Row],[Колона6]]</calculatedColumnFormula>
    </tableColumn>
    <tableColumn id="9" name="Колона9" totalsRowFunction="sum" dataDxfId="77" totalsRowDxfId="76">
      <calculatedColumnFormula>Таблица3[[#This Row],[Колона8]]-C12</calculatedColumnFormula>
    </tableColumn>
    <tableColumn id="10" name="Колона10" totalsRowFunction="sum" dataDxfId="75" totalsRowDxfId="7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4" name="Таблица35" displayName="Таблица35" ref="A11:C14" totalsRowCount="1" headerRowBorderDxfId="73" tableBorderDxfId="72" totalsRowBorderDxfId="71">
  <autoFilter ref="A11:C13"/>
  <tableColumns count="3">
    <tableColumn id="1" name="Колона1" totalsRowLabel="Общо" dataDxfId="70" totalsRowDxfId="69"/>
    <tableColumn id="6" name="Колона2" totalsRowFunction="sum" dataDxfId="68" totalsRowDxfId="67" dataCellStyle="Нормален 2"/>
    <tableColumn id="7" name="Колона3" totalsRowFunction="sum" dataDxfId="66" totalsRowDxfId="65">
      <calculatedColumnFormula>Таблица35[[#This Row],[Колона2]]*$C$10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8" name="Таблица39" displayName="Таблица39" ref="A19:I22" totalsRowCount="1" headerRowDxfId="64" totalsRowDxfId="61" headerRowBorderDxfId="63" tableBorderDxfId="62" totalsRowBorderDxfId="60">
  <autoFilter ref="A19:I21"/>
  <tableColumns count="9">
    <tableColumn id="1" name="Колона1" totalsRowLabel="Общо" dataDxfId="59" totalsRowDxfId="58"/>
    <tableColumn id="2" name="Колона2" totalsRowFunction="sum" dataDxfId="57" totalsRowDxfId="56"/>
    <tableColumn id="3" name="Колона3" totalsRowFunction="sum" dataDxfId="55" totalsRowDxfId="54" dataCellStyle="Нормален 2"/>
    <tableColumn id="4" name="Колона4" totalsRowFunction="sum" dataDxfId="53" totalsRowDxfId="52" dataCellStyle="Нормален 2">
      <calculatedColumnFormula>C20*$D$18</calculatedColumnFormula>
    </tableColumn>
    <tableColumn id="5" name="Колона5" totalsRowFunction="sum" dataDxfId="51" totalsRowDxfId="50" dataCellStyle="Нормален 2"/>
    <tableColumn id="6" name="Колона6" totalsRowFunction="sum" dataDxfId="49" totalsRowDxfId="48" dataCellStyle="Нормален 2">
      <calculatedColumnFormula>E20*$F$18</calculatedColumnFormula>
    </tableColumn>
    <tableColumn id="8" name="Колона8" totalsRowFunction="sum" dataDxfId="47" totalsRowDxfId="46">
      <calculatedColumnFormula>Таблица39[[#This Row],[Колона2]]+Таблица39[[#This Row],[Колона4]]+Таблица39[[#This Row],[Колона6]]</calculatedColumnFormula>
    </tableColumn>
    <tableColumn id="9" name="Колона9" totalsRowFunction="sum" dataDxfId="45" totalsRowDxfId="44"/>
    <tableColumn id="10" name="Колона10" totalsRowFunction="sum" dataDxfId="43" totalsRowDxfId="42" dataCellStyle="Запетая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6" name="Таблица47" displayName="Таблица47" ref="A3:S5" totalsRowCount="1" headerRowDxfId="41" headerRowBorderDxfId="40" tableBorderDxfId="39" totalsRowBorderDxfId="38" headerRowCellStyle="Нормален 2">
  <autoFilter ref="A3:S4"/>
  <tableColumns count="19">
    <tableColumn id="1" name="Колона1" totalsRowLabel="Общо" dataDxfId="37" totalsRowDxfId="36"/>
    <tableColumn id="2" name="Колона2" totalsRowFunction="sum" dataDxfId="35" totalsRowDxfId="34">
      <calculatedColumnFormula>33000+(33000*0.034)</calculatedColumnFormula>
    </tableColumn>
    <tableColumn id="3" name="Колона3" totalsRowFunction="sum" dataDxfId="33" totalsRowDxfId="32" dataCellStyle="Нормален 2"/>
    <tableColumn id="4" name="Колона4" totalsRowFunction="sum" dataDxfId="31" totalsRowDxfId="30" dataCellStyle="Нормален 2">
      <calculatedColumnFormula>C4*$D$2</calculatedColumnFormula>
    </tableColumn>
    <tableColumn id="5" name="Колона5" totalsRowFunction="sum" dataDxfId="29" totalsRowDxfId="28" dataCellStyle="Нормален 2"/>
    <tableColumn id="6" name="Колона6" totalsRowFunction="sum" dataDxfId="27" totalsRowDxfId="26" dataCellStyle="Нормален 2">
      <calculatedColumnFormula>E4*$F$2</calculatedColumnFormula>
    </tableColumn>
    <tableColumn id="11" name="Колона13" totalsRowFunction="sum" dataDxfId="25" totalsRowDxfId="24" dataCellStyle="Нормален 2"/>
    <tableColumn id="12" name="Колона14" totalsRowFunction="sum" dataDxfId="23" totalsRowDxfId="22" dataCellStyle="Нормален 2">
      <calculatedColumnFormula>G4*$H$2</calculatedColumnFormula>
    </tableColumn>
    <tableColumn id="13" name="Колона15" totalsRowFunction="sum" dataDxfId="21" totalsRowDxfId="20" dataCellStyle="Нормален 2"/>
    <tableColumn id="14" name="Колона16" totalsRowFunction="sum" dataDxfId="19" totalsRowDxfId="18" dataCellStyle="Нормален 2">
      <calculatedColumnFormula>I4*$J$2</calculatedColumnFormula>
    </tableColumn>
    <tableColumn id="10" name="Колона172" totalsRowLabel="0" dataDxfId="17" totalsRowDxfId="16" dataCellStyle="Нормален 2"/>
    <tableColumn id="16" name="Колона18" totalsRowFunction="sum" dataDxfId="15" totalsRowDxfId="14" dataCellStyle="Нормален 2">
      <calculatedColumnFormula>Таблица47[[#This Row],[Колона2]]+Таблица47[[#This Row],[Колона4]]+Таблица47[[#This Row],[Колона6]]+Таблица47[[#This Row],[Колона14]]+Таблица47[[#This Row],[Колона16]]</calculatedColumnFormula>
    </tableColumn>
    <tableColumn id="17" name="Колона19" totalsRowFunction="sum" dataDxfId="13" totalsRowDxfId="12"/>
    <tableColumn id="18" name="Колона20" totalsRowFunction="sum" dataDxfId="11" totalsRowDxfId="10" dataCellStyle="Нормален 2">
      <calculatedColumnFormula>M4*$N$2</calculatedColumnFormula>
    </tableColumn>
    <tableColumn id="8" name="Колона21" totalsRowFunction="sum" dataDxfId="9" totalsRowDxfId="8" dataCellStyle="Нормален 2"/>
    <tableColumn id="7" name="Колона22" totalsRowFunction="sum" dataDxfId="7" totalsRowDxfId="6" dataCellStyle="Нормален 2">
      <calculatedColumnFormula>Таблица47[Колона21]*P2</calculatedColumnFormula>
    </tableColumn>
    <tableColumn id="19" name="Колона23" totalsRowFunction="sum" dataDxfId="5" totalsRowDxfId="4">
      <calculatedColumnFormula>Таблица47[[#This Row],[Колона20]]+Таблица47[Колона22]</calculatedColumnFormula>
    </tableColumn>
    <tableColumn id="9" name="Колона24" totalsRowFunction="sum" dataDxfId="3" totalsRowDxfId="2"/>
    <tableColumn id="20" name="Колона25" totalsRowFunction="sum" dataDxfId="1" totalsRowDxfId="0">
      <calculatedColumnFormula>Таблица47[[#This Row],[Колона18]]+Таблица47[[#This Row],[Колона23]]+Таблица47[Колона24]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5.bin"/><Relationship Id="rId4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3"/>
  <sheetViews>
    <sheetView topLeftCell="A3" zoomScale="87" zoomScaleNormal="87" workbookViewId="0">
      <selection activeCell="J8" sqref="J8"/>
    </sheetView>
  </sheetViews>
  <sheetFormatPr defaultColWidth="13" defaultRowHeight="11.25" x14ac:dyDescent="0.2"/>
  <cols>
    <col min="1" max="1" width="4" style="1" customWidth="1"/>
    <col min="2" max="2" width="16.28515625" style="1" customWidth="1"/>
    <col min="3" max="3" width="5.5703125" style="1" customWidth="1"/>
    <col min="4" max="4" width="8.140625" style="1" customWidth="1"/>
    <col min="5" max="5" width="6.42578125" style="1" customWidth="1"/>
    <col min="6" max="6" width="5.7109375" style="1" customWidth="1"/>
    <col min="7" max="7" width="6.42578125" style="1" customWidth="1"/>
    <col min="8" max="8" width="10" style="1" customWidth="1"/>
    <col min="9" max="11" width="8.28515625" style="1" customWidth="1"/>
    <col min="12" max="12" width="3.42578125" style="1" customWidth="1"/>
    <col min="13" max="13" width="5.85546875" style="1" customWidth="1"/>
    <col min="14" max="14" width="3.140625" style="1" customWidth="1"/>
    <col min="15" max="15" width="6.5703125" style="1" customWidth="1"/>
    <col min="16" max="16" width="4.140625" style="1" customWidth="1"/>
    <col min="17" max="17" width="5.85546875" style="1" customWidth="1"/>
    <col min="18" max="19" width="5.28515625" style="1" customWidth="1"/>
    <col min="20" max="20" width="3.42578125" style="1" customWidth="1"/>
    <col min="21" max="21" width="4.7109375" style="1" customWidth="1"/>
    <col min="22" max="22" width="4.140625" style="1" customWidth="1"/>
    <col min="23" max="23" width="7.28515625" style="1" customWidth="1"/>
    <col min="24" max="24" width="5" style="1" customWidth="1"/>
    <col min="25" max="25" width="6.5703125" style="1" customWidth="1"/>
    <col min="26" max="26" width="4.28515625" style="1" customWidth="1"/>
    <col min="27" max="27" width="6.5703125" style="1" customWidth="1"/>
    <col min="28" max="28" width="7.5703125" style="1" customWidth="1"/>
    <col min="29" max="29" width="7.28515625" style="1" customWidth="1"/>
    <col min="30" max="30" width="6.7109375" style="1" customWidth="1"/>
    <col min="31" max="16384" width="13" style="1"/>
  </cols>
  <sheetData>
    <row r="1" spans="1:37" ht="14.25" customHeight="1" x14ac:dyDescent="0.2">
      <c r="AB1" s="55" t="s">
        <v>0</v>
      </c>
    </row>
    <row r="2" spans="1:37" ht="18" customHeight="1" x14ac:dyDescent="0.2">
      <c r="X2" s="265"/>
      <c r="Y2" s="265"/>
      <c r="Z2" s="265"/>
      <c r="AA2" s="265"/>
      <c r="AB2" s="265"/>
    </row>
    <row r="3" spans="1:37" ht="55.5" customHeight="1" x14ac:dyDescent="0.2">
      <c r="A3" s="266" t="s">
        <v>33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"/>
    </row>
    <row r="4" spans="1:37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37" ht="30" customHeight="1" x14ac:dyDescent="0.2">
      <c r="A5" s="4"/>
      <c r="B5" s="5"/>
      <c r="C5" s="267" t="s">
        <v>1</v>
      </c>
      <c r="D5" s="268"/>
      <c r="E5" s="268"/>
      <c r="F5" s="268"/>
      <c r="G5" s="268"/>
      <c r="H5" s="268"/>
      <c r="I5" s="269"/>
      <c r="J5" s="103"/>
      <c r="K5" s="103"/>
      <c r="L5" s="267" t="s">
        <v>2</v>
      </c>
      <c r="M5" s="269"/>
      <c r="N5" s="267" t="s">
        <v>2</v>
      </c>
      <c r="O5" s="269"/>
      <c r="P5" s="267" t="s">
        <v>2</v>
      </c>
      <c r="Q5" s="269"/>
      <c r="R5" s="270" t="s">
        <v>2</v>
      </c>
      <c r="S5" s="270"/>
      <c r="T5" s="270" t="s">
        <v>2</v>
      </c>
      <c r="U5" s="270"/>
      <c r="V5" s="267" t="s">
        <v>2</v>
      </c>
      <c r="W5" s="268"/>
      <c r="X5" s="270" t="s">
        <v>2</v>
      </c>
      <c r="Y5" s="270"/>
      <c r="Z5" s="270" t="s">
        <v>2</v>
      </c>
      <c r="AA5" s="267"/>
      <c r="AB5" s="274" t="s">
        <v>3</v>
      </c>
      <c r="AC5" s="277"/>
      <c r="AD5" s="6"/>
    </row>
    <row r="6" spans="1:37" ht="24.75" customHeight="1" x14ac:dyDescent="0.2">
      <c r="A6" s="278" t="s">
        <v>4</v>
      </c>
      <c r="B6" s="279" t="s">
        <v>5</v>
      </c>
      <c r="C6" s="280" t="s">
        <v>31</v>
      </c>
      <c r="D6" s="281"/>
      <c r="E6" s="284" t="s">
        <v>32</v>
      </c>
      <c r="F6" s="107"/>
      <c r="G6" s="107"/>
      <c r="H6" s="287" t="s">
        <v>7</v>
      </c>
      <c r="I6" s="287" t="s">
        <v>7</v>
      </c>
      <c r="J6" s="104"/>
      <c r="K6" s="104"/>
      <c r="L6" s="288" t="s">
        <v>8</v>
      </c>
      <c r="M6" s="289"/>
      <c r="N6" s="288" t="s">
        <v>9</v>
      </c>
      <c r="O6" s="289"/>
      <c r="P6" s="303" t="s">
        <v>34</v>
      </c>
      <c r="Q6" s="304"/>
      <c r="R6" s="288" t="s">
        <v>10</v>
      </c>
      <c r="S6" s="289"/>
      <c r="T6" s="288" t="s">
        <v>35</v>
      </c>
      <c r="U6" s="289"/>
      <c r="V6" s="280" t="s">
        <v>11</v>
      </c>
      <c r="W6" s="292"/>
      <c r="X6" s="288" t="s">
        <v>12</v>
      </c>
      <c r="Y6" s="289"/>
      <c r="Z6" s="288" t="s">
        <v>13</v>
      </c>
      <c r="AA6" s="301"/>
      <c r="AB6" s="275"/>
      <c r="AC6" s="277"/>
      <c r="AD6" s="6"/>
    </row>
    <row r="7" spans="1:37" ht="48" customHeight="1" x14ac:dyDescent="0.2">
      <c r="A7" s="278"/>
      <c r="B7" s="279"/>
      <c r="C7" s="282"/>
      <c r="D7" s="283"/>
      <c r="E7" s="285"/>
      <c r="F7" s="108" t="s">
        <v>36</v>
      </c>
      <c r="G7" s="108" t="s">
        <v>37</v>
      </c>
      <c r="H7" s="287"/>
      <c r="I7" s="287"/>
      <c r="J7" s="105"/>
      <c r="K7" s="105"/>
      <c r="L7" s="290"/>
      <c r="M7" s="291"/>
      <c r="N7" s="290"/>
      <c r="O7" s="291"/>
      <c r="P7" s="305"/>
      <c r="Q7" s="306"/>
      <c r="R7" s="290"/>
      <c r="S7" s="291"/>
      <c r="T7" s="290"/>
      <c r="U7" s="291"/>
      <c r="V7" s="282"/>
      <c r="W7" s="293"/>
      <c r="X7" s="290"/>
      <c r="Y7" s="291"/>
      <c r="Z7" s="290"/>
      <c r="AA7" s="302"/>
      <c r="AB7" s="275"/>
      <c r="AC7" s="277"/>
      <c r="AD7" s="6"/>
      <c r="AF7" s="9"/>
      <c r="AG7" s="271"/>
      <c r="AH7" s="271"/>
      <c r="AI7" s="10"/>
      <c r="AJ7" s="9"/>
      <c r="AK7" s="9"/>
    </row>
    <row r="8" spans="1:37" ht="76.5" customHeight="1" x14ac:dyDescent="0.2">
      <c r="A8" s="278"/>
      <c r="B8" s="279"/>
      <c r="C8" s="7" t="s">
        <v>14</v>
      </c>
      <c r="D8" s="11">
        <v>1517.13</v>
      </c>
      <c r="E8" s="286"/>
      <c r="F8" s="106">
        <v>120</v>
      </c>
      <c r="G8" s="106">
        <v>80</v>
      </c>
      <c r="H8" s="287"/>
      <c r="I8" s="287"/>
      <c r="J8" s="8"/>
      <c r="K8" s="8"/>
      <c r="L8" s="8" t="s">
        <v>14</v>
      </c>
      <c r="M8" s="12">
        <v>373</v>
      </c>
      <c r="N8" s="8" t="s">
        <v>14</v>
      </c>
      <c r="O8" s="13">
        <v>3070</v>
      </c>
      <c r="P8" s="8" t="s">
        <v>14</v>
      </c>
      <c r="Q8" s="13">
        <v>326</v>
      </c>
      <c r="R8" s="8" t="s">
        <v>14</v>
      </c>
      <c r="S8" s="13">
        <v>25</v>
      </c>
      <c r="T8" s="8" t="s">
        <v>14</v>
      </c>
      <c r="U8" s="13">
        <v>862</v>
      </c>
      <c r="V8" s="8" t="s">
        <v>14</v>
      </c>
      <c r="W8" s="8">
        <v>87</v>
      </c>
      <c r="X8" s="8" t="s">
        <v>14</v>
      </c>
      <c r="Y8" s="13">
        <v>72</v>
      </c>
      <c r="Z8" s="8" t="s">
        <v>14</v>
      </c>
      <c r="AA8" s="76">
        <v>580</v>
      </c>
      <c r="AB8" s="276"/>
      <c r="AC8" s="277"/>
      <c r="AD8" s="14"/>
      <c r="AF8" s="9"/>
      <c r="AG8" s="271"/>
      <c r="AH8" s="271"/>
      <c r="AI8" s="15"/>
      <c r="AJ8" s="9"/>
      <c r="AK8" s="9"/>
    </row>
    <row r="9" spans="1:37" ht="27" customHeight="1" x14ac:dyDescent="0.2">
      <c r="A9" s="79">
        <v>1</v>
      </c>
      <c r="B9" s="80" t="s">
        <v>15</v>
      </c>
      <c r="C9" s="81">
        <v>320</v>
      </c>
      <c r="D9" s="82">
        <f>$D$8*C9</f>
        <v>485481.60000000003</v>
      </c>
      <c r="E9" s="82">
        <v>29000</v>
      </c>
      <c r="F9" s="82"/>
      <c r="G9" s="82"/>
      <c r="H9" s="84">
        <f>D9+E9</f>
        <v>514481.60000000003</v>
      </c>
      <c r="I9" s="82">
        <f>H9</f>
        <v>514481.60000000003</v>
      </c>
      <c r="J9" s="82"/>
      <c r="K9" s="82"/>
      <c r="L9" s="81">
        <v>3</v>
      </c>
      <c r="M9" s="82">
        <f t="shared" ref="M9:M17" si="0">L9*$M$8</f>
        <v>1119</v>
      </c>
      <c r="N9" s="82">
        <v>1</v>
      </c>
      <c r="O9" s="82">
        <f t="shared" ref="O9:O17" si="1">N9*$O$8</f>
        <v>3070</v>
      </c>
      <c r="P9" s="82">
        <v>1</v>
      </c>
      <c r="Q9" s="82">
        <f t="shared" ref="Q9:Q17" si="2">P9*$Q$8</f>
        <v>326</v>
      </c>
      <c r="R9" s="81">
        <f t="shared" ref="R9:R17" si="3">C9</f>
        <v>320</v>
      </c>
      <c r="S9" s="82">
        <f t="shared" ref="S9:S17" si="4">R9*$S$8</f>
        <v>8000</v>
      </c>
      <c r="T9" s="82"/>
      <c r="U9" s="82">
        <f t="shared" ref="U9:U17" si="5">T9*$U$8</f>
        <v>0</v>
      </c>
      <c r="V9" s="86">
        <v>215</v>
      </c>
      <c r="W9" s="86">
        <f t="shared" ref="W9:W17" si="6">V9*$W$8</f>
        <v>18705</v>
      </c>
      <c r="X9" s="87"/>
      <c r="Y9" s="88"/>
      <c r="Z9" s="82"/>
      <c r="AA9" s="89">
        <f t="shared" ref="AA9:AA17" si="7">Z9*$AA$8</f>
        <v>0</v>
      </c>
      <c r="AB9" s="90">
        <f>I9+M9+O9+Q9+S9+W9+Y9+AA9+U9</f>
        <v>545701.60000000009</v>
      </c>
      <c r="AC9" s="26"/>
      <c r="AD9" s="27"/>
      <c r="AF9" s="9"/>
      <c r="AG9" s="28"/>
      <c r="AH9" s="29"/>
      <c r="AI9" s="15"/>
      <c r="AJ9" s="9"/>
      <c r="AK9" s="15"/>
    </row>
    <row r="10" spans="1:37" ht="25.5" customHeight="1" x14ac:dyDescent="0.2">
      <c r="A10" s="30">
        <v>2</v>
      </c>
      <c r="B10" s="17" t="s">
        <v>16</v>
      </c>
      <c r="C10" s="18">
        <v>416</v>
      </c>
      <c r="D10" s="19">
        <f t="shared" ref="D10:D19" si="8">$D$8*C10</f>
        <v>631126.08000000007</v>
      </c>
      <c r="E10" s="19">
        <v>29000</v>
      </c>
      <c r="F10" s="19"/>
      <c r="G10" s="19"/>
      <c r="H10" s="84">
        <f t="shared" ref="H10:H17" si="9">D10+E10</f>
        <v>660126.08000000007</v>
      </c>
      <c r="I10" s="19">
        <f t="shared" ref="I10:I17" si="10">H10</f>
        <v>660126.08000000007</v>
      </c>
      <c r="J10" s="19"/>
      <c r="K10" s="19"/>
      <c r="L10" s="18">
        <v>3</v>
      </c>
      <c r="M10" s="19">
        <f t="shared" si="0"/>
        <v>1119</v>
      </c>
      <c r="N10" s="22"/>
      <c r="O10" s="19">
        <f t="shared" si="1"/>
        <v>0</v>
      </c>
      <c r="P10" s="19">
        <v>0</v>
      </c>
      <c r="Q10" s="19">
        <f t="shared" si="2"/>
        <v>0</v>
      </c>
      <c r="R10" s="18">
        <f t="shared" si="3"/>
        <v>416</v>
      </c>
      <c r="S10" s="19">
        <f t="shared" si="4"/>
        <v>10400</v>
      </c>
      <c r="T10" s="19"/>
      <c r="U10" s="19">
        <f t="shared" si="5"/>
        <v>0</v>
      </c>
      <c r="V10" s="23">
        <v>213</v>
      </c>
      <c r="W10" s="23">
        <f t="shared" si="6"/>
        <v>18531</v>
      </c>
      <c r="X10" s="24"/>
      <c r="Y10" s="25"/>
      <c r="Z10" s="19"/>
      <c r="AA10" s="77">
        <f t="shared" si="7"/>
        <v>0</v>
      </c>
      <c r="AB10" s="78">
        <f t="shared" ref="AB10:AB20" si="11">I10+M10+O10+Q10+S10+W10+Y10+AA10+U10</f>
        <v>690176.08000000007</v>
      </c>
      <c r="AC10" s="26"/>
      <c r="AD10" s="27"/>
      <c r="AF10" s="9"/>
      <c r="AG10" s="28"/>
      <c r="AH10" s="29"/>
      <c r="AI10" s="15"/>
      <c r="AJ10" s="9"/>
      <c r="AK10" s="15"/>
    </row>
    <row r="11" spans="1:37" ht="29.25" customHeight="1" x14ac:dyDescent="0.2">
      <c r="A11" s="91">
        <v>3</v>
      </c>
      <c r="B11" s="80" t="s">
        <v>17</v>
      </c>
      <c r="C11" s="81">
        <v>559</v>
      </c>
      <c r="D11" s="82">
        <f t="shared" si="8"/>
        <v>848075.67</v>
      </c>
      <c r="E11" s="82">
        <v>29000</v>
      </c>
      <c r="F11" s="82"/>
      <c r="G11" s="82"/>
      <c r="H11" s="84">
        <f t="shared" si="9"/>
        <v>877075.67</v>
      </c>
      <c r="I11" s="82">
        <f t="shared" si="10"/>
        <v>877075.67</v>
      </c>
      <c r="J11" s="82"/>
      <c r="K11" s="82"/>
      <c r="L11" s="81">
        <v>15</v>
      </c>
      <c r="M11" s="82">
        <f t="shared" si="0"/>
        <v>5595</v>
      </c>
      <c r="N11" s="82"/>
      <c r="O11" s="82">
        <f t="shared" si="1"/>
        <v>0</v>
      </c>
      <c r="P11" s="82">
        <v>36</v>
      </c>
      <c r="Q11" s="82">
        <f t="shared" si="2"/>
        <v>11736</v>
      </c>
      <c r="R11" s="81">
        <f t="shared" si="3"/>
        <v>559</v>
      </c>
      <c r="S11" s="82">
        <f t="shared" si="4"/>
        <v>13975</v>
      </c>
      <c r="T11" s="82">
        <v>1</v>
      </c>
      <c r="U11" s="82">
        <f t="shared" si="5"/>
        <v>862</v>
      </c>
      <c r="V11" s="86">
        <v>97</v>
      </c>
      <c r="W11" s="86">
        <f t="shared" si="6"/>
        <v>8439</v>
      </c>
      <c r="X11" s="92">
        <v>283</v>
      </c>
      <c r="Y11" s="82">
        <f t="shared" ref="Y11:Y17" si="12">X11*$Y$8</f>
        <v>20376</v>
      </c>
      <c r="Z11" s="82">
        <v>348</v>
      </c>
      <c r="AA11" s="89">
        <f t="shared" si="7"/>
        <v>201840</v>
      </c>
      <c r="AB11" s="90">
        <f t="shared" si="11"/>
        <v>1139898.67</v>
      </c>
      <c r="AC11" s="26"/>
      <c r="AD11" s="27"/>
      <c r="AF11" s="9"/>
      <c r="AG11" s="28"/>
      <c r="AH11" s="29"/>
      <c r="AI11" s="15"/>
      <c r="AJ11" s="9"/>
      <c r="AK11" s="15"/>
    </row>
    <row r="12" spans="1:37" ht="25.5" customHeight="1" x14ac:dyDescent="0.2">
      <c r="A12" s="16">
        <v>4</v>
      </c>
      <c r="B12" s="17" t="s">
        <v>18</v>
      </c>
      <c r="C12" s="18">
        <v>428</v>
      </c>
      <c r="D12" s="19">
        <f t="shared" si="8"/>
        <v>649331.64</v>
      </c>
      <c r="E12" s="19">
        <v>29000</v>
      </c>
      <c r="F12" s="19"/>
      <c r="G12" s="19"/>
      <c r="H12" s="84">
        <f t="shared" si="9"/>
        <v>678331.64</v>
      </c>
      <c r="I12" s="19">
        <f t="shared" si="10"/>
        <v>678331.64</v>
      </c>
      <c r="J12" s="19"/>
      <c r="K12" s="19"/>
      <c r="L12" s="18"/>
      <c r="M12" s="19">
        <f t="shared" si="0"/>
        <v>0</v>
      </c>
      <c r="N12" s="19">
        <v>1</v>
      </c>
      <c r="O12" s="19">
        <f t="shared" si="1"/>
        <v>3070</v>
      </c>
      <c r="P12" s="19">
        <v>15</v>
      </c>
      <c r="Q12" s="19">
        <f t="shared" si="2"/>
        <v>4890</v>
      </c>
      <c r="R12" s="18">
        <f t="shared" si="3"/>
        <v>428</v>
      </c>
      <c r="S12" s="19">
        <f t="shared" si="4"/>
        <v>10700</v>
      </c>
      <c r="T12" s="19"/>
      <c r="U12" s="19">
        <f t="shared" si="5"/>
        <v>0</v>
      </c>
      <c r="V12" s="23"/>
      <c r="W12" s="23">
        <f t="shared" si="6"/>
        <v>0</v>
      </c>
      <c r="X12" s="31">
        <v>229</v>
      </c>
      <c r="Y12" s="19">
        <f t="shared" si="12"/>
        <v>16488</v>
      </c>
      <c r="Z12" s="19">
        <v>246</v>
      </c>
      <c r="AA12" s="77">
        <f t="shared" si="7"/>
        <v>142680</v>
      </c>
      <c r="AB12" s="78">
        <f t="shared" si="11"/>
        <v>856159.64</v>
      </c>
      <c r="AC12" s="26"/>
      <c r="AD12" s="27"/>
      <c r="AF12" s="15"/>
      <c r="AG12" s="15"/>
      <c r="AH12" s="29"/>
      <c r="AI12" s="15"/>
      <c r="AJ12" s="15"/>
      <c r="AK12" s="15"/>
    </row>
    <row r="13" spans="1:37" ht="33.950000000000003" customHeight="1" x14ac:dyDescent="0.2">
      <c r="A13" s="79">
        <v>5</v>
      </c>
      <c r="B13" s="93" t="s">
        <v>19</v>
      </c>
      <c r="C13" s="86">
        <v>444</v>
      </c>
      <c r="D13" s="82">
        <f t="shared" si="8"/>
        <v>673605.72000000009</v>
      </c>
      <c r="E13" s="82">
        <v>29000</v>
      </c>
      <c r="F13" s="82"/>
      <c r="G13" s="82"/>
      <c r="H13" s="84">
        <f t="shared" si="9"/>
        <v>702605.72000000009</v>
      </c>
      <c r="I13" s="82">
        <f t="shared" si="10"/>
        <v>702605.72000000009</v>
      </c>
      <c r="J13" s="82"/>
      <c r="K13" s="82"/>
      <c r="L13" s="86"/>
      <c r="M13" s="87">
        <f t="shared" si="0"/>
        <v>0</v>
      </c>
      <c r="N13" s="87"/>
      <c r="O13" s="82">
        <f t="shared" si="1"/>
        <v>0</v>
      </c>
      <c r="P13" s="82">
        <v>29</v>
      </c>
      <c r="Q13" s="87">
        <f t="shared" si="2"/>
        <v>9454</v>
      </c>
      <c r="R13" s="86">
        <f t="shared" si="3"/>
        <v>444</v>
      </c>
      <c r="S13" s="87">
        <f t="shared" si="4"/>
        <v>11100</v>
      </c>
      <c r="T13" s="87">
        <v>3</v>
      </c>
      <c r="U13" s="82">
        <f t="shared" si="5"/>
        <v>2586</v>
      </c>
      <c r="V13" s="94"/>
      <c r="W13" s="86">
        <f t="shared" si="6"/>
        <v>0</v>
      </c>
      <c r="X13" s="92">
        <v>258</v>
      </c>
      <c r="Y13" s="87">
        <f t="shared" si="12"/>
        <v>18576</v>
      </c>
      <c r="Z13" s="87">
        <v>335</v>
      </c>
      <c r="AA13" s="89">
        <f t="shared" si="7"/>
        <v>194300</v>
      </c>
      <c r="AB13" s="90">
        <f t="shared" si="11"/>
        <v>938621.72000000009</v>
      </c>
      <c r="AC13" s="26"/>
      <c r="AD13" s="27"/>
      <c r="AF13" s="9"/>
      <c r="AG13" s="9"/>
      <c r="AH13" s="9"/>
      <c r="AI13" s="15"/>
      <c r="AJ13" s="9"/>
      <c r="AK13" s="9"/>
    </row>
    <row r="14" spans="1:37" ht="25.5" customHeight="1" x14ac:dyDescent="0.2">
      <c r="A14" s="30">
        <v>6</v>
      </c>
      <c r="B14" s="17" t="s">
        <v>20</v>
      </c>
      <c r="C14" s="18">
        <v>631</v>
      </c>
      <c r="D14" s="19">
        <f t="shared" si="8"/>
        <v>957309.03</v>
      </c>
      <c r="E14" s="19">
        <v>29000</v>
      </c>
      <c r="F14" s="19"/>
      <c r="G14" s="19"/>
      <c r="H14" s="84">
        <f t="shared" si="9"/>
        <v>986309.03</v>
      </c>
      <c r="I14" s="19">
        <f t="shared" si="10"/>
        <v>986309.03</v>
      </c>
      <c r="J14" s="19"/>
      <c r="K14" s="19"/>
      <c r="L14" s="18"/>
      <c r="M14" s="19">
        <f t="shared" si="0"/>
        <v>0</v>
      </c>
      <c r="N14" s="19"/>
      <c r="O14" s="19">
        <f t="shared" si="1"/>
        <v>0</v>
      </c>
      <c r="P14" s="19">
        <v>25</v>
      </c>
      <c r="Q14" s="19">
        <f t="shared" si="2"/>
        <v>8150</v>
      </c>
      <c r="R14" s="18">
        <f t="shared" si="3"/>
        <v>631</v>
      </c>
      <c r="S14" s="19">
        <f t="shared" si="4"/>
        <v>15775</v>
      </c>
      <c r="T14" s="19"/>
      <c r="U14" s="19">
        <f t="shared" si="5"/>
        <v>0</v>
      </c>
      <c r="V14" s="32"/>
      <c r="W14" s="23">
        <f t="shared" si="6"/>
        <v>0</v>
      </c>
      <c r="X14" s="31">
        <v>414</v>
      </c>
      <c r="Y14" s="19">
        <f t="shared" si="12"/>
        <v>29808</v>
      </c>
      <c r="Z14" s="19">
        <v>505</v>
      </c>
      <c r="AA14" s="77">
        <f t="shared" si="7"/>
        <v>292900</v>
      </c>
      <c r="AB14" s="78">
        <f t="shared" si="11"/>
        <v>1332942.03</v>
      </c>
      <c r="AC14" s="26"/>
      <c r="AD14" s="27"/>
      <c r="AF14" s="9"/>
      <c r="AG14" s="9"/>
      <c r="AH14" s="9"/>
      <c r="AI14" s="15"/>
      <c r="AJ14" s="9"/>
      <c r="AK14" s="9"/>
    </row>
    <row r="15" spans="1:37" ht="39.75" customHeight="1" x14ac:dyDescent="0.2">
      <c r="A15" s="79">
        <v>7</v>
      </c>
      <c r="B15" s="80" t="s">
        <v>21</v>
      </c>
      <c r="C15" s="81">
        <v>92</v>
      </c>
      <c r="D15" s="82">
        <f t="shared" si="8"/>
        <v>139575.96000000002</v>
      </c>
      <c r="E15" s="82">
        <v>29000</v>
      </c>
      <c r="F15" s="82">
        <f>F8*C15</f>
        <v>11040</v>
      </c>
      <c r="G15" s="82"/>
      <c r="H15" s="84">
        <f t="shared" si="9"/>
        <v>168575.96000000002</v>
      </c>
      <c r="I15" s="82">
        <f t="shared" si="10"/>
        <v>168575.96000000002</v>
      </c>
      <c r="J15" s="82"/>
      <c r="K15" s="82"/>
      <c r="L15" s="81">
        <v>26</v>
      </c>
      <c r="M15" s="82">
        <f t="shared" si="0"/>
        <v>9698</v>
      </c>
      <c r="N15" s="85"/>
      <c r="O15" s="82">
        <f t="shared" si="1"/>
        <v>0</v>
      </c>
      <c r="P15" s="82">
        <v>10</v>
      </c>
      <c r="Q15" s="82">
        <f t="shared" si="2"/>
        <v>3260</v>
      </c>
      <c r="R15" s="81">
        <f t="shared" si="3"/>
        <v>92</v>
      </c>
      <c r="S15" s="82">
        <f t="shared" si="4"/>
        <v>2300</v>
      </c>
      <c r="T15" s="82"/>
      <c r="U15" s="82">
        <f t="shared" si="5"/>
        <v>0</v>
      </c>
      <c r="V15" s="94"/>
      <c r="W15" s="86">
        <f t="shared" si="6"/>
        <v>0</v>
      </c>
      <c r="X15" s="95">
        <v>48</v>
      </c>
      <c r="Y15" s="82">
        <f t="shared" si="12"/>
        <v>3456</v>
      </c>
      <c r="Z15" s="82">
        <v>52</v>
      </c>
      <c r="AA15" s="89">
        <f t="shared" si="7"/>
        <v>30160</v>
      </c>
      <c r="AB15" s="90">
        <f t="shared" si="11"/>
        <v>217449.96000000002</v>
      </c>
      <c r="AC15" s="26"/>
      <c r="AD15" s="27"/>
    </row>
    <row r="16" spans="1:37" ht="27" customHeight="1" x14ac:dyDescent="0.2">
      <c r="A16" s="16">
        <v>8</v>
      </c>
      <c r="B16" s="17" t="s">
        <v>22</v>
      </c>
      <c r="C16" s="18">
        <v>146</v>
      </c>
      <c r="D16" s="19">
        <f t="shared" si="8"/>
        <v>221500.98</v>
      </c>
      <c r="E16" s="19">
        <v>29000</v>
      </c>
      <c r="F16" s="19"/>
      <c r="G16" s="19">
        <f>G8*C16</f>
        <v>11680</v>
      </c>
      <c r="H16" s="84">
        <f t="shared" si="9"/>
        <v>250500.98</v>
      </c>
      <c r="I16" s="19">
        <f t="shared" si="10"/>
        <v>250500.98</v>
      </c>
      <c r="J16" s="19"/>
      <c r="K16" s="19"/>
      <c r="L16" s="18">
        <v>15</v>
      </c>
      <c r="M16" s="19">
        <f t="shared" si="0"/>
        <v>5595</v>
      </c>
      <c r="N16" s="22"/>
      <c r="O16" s="19">
        <f t="shared" si="1"/>
        <v>0</v>
      </c>
      <c r="P16" s="19">
        <v>1</v>
      </c>
      <c r="Q16" s="19">
        <f t="shared" si="2"/>
        <v>326</v>
      </c>
      <c r="R16" s="18">
        <f t="shared" si="3"/>
        <v>146</v>
      </c>
      <c r="S16" s="19">
        <f t="shared" si="4"/>
        <v>3650</v>
      </c>
      <c r="T16" s="19"/>
      <c r="U16" s="19">
        <f t="shared" si="5"/>
        <v>0</v>
      </c>
      <c r="V16" s="23"/>
      <c r="W16" s="23">
        <f t="shared" si="6"/>
        <v>0</v>
      </c>
      <c r="X16" s="31">
        <v>66</v>
      </c>
      <c r="Y16" s="19">
        <f t="shared" si="12"/>
        <v>4752</v>
      </c>
      <c r="Z16" s="19">
        <v>146</v>
      </c>
      <c r="AA16" s="77">
        <f t="shared" si="7"/>
        <v>84680</v>
      </c>
      <c r="AB16" s="78">
        <f t="shared" si="11"/>
        <v>349503.98</v>
      </c>
      <c r="AC16" s="26"/>
      <c r="AD16" s="27"/>
    </row>
    <row r="17" spans="1:30" ht="33" customHeight="1" x14ac:dyDescent="0.2">
      <c r="A17" s="91">
        <v>9</v>
      </c>
      <c r="B17" s="80" t="s">
        <v>23</v>
      </c>
      <c r="C17" s="81">
        <v>49</v>
      </c>
      <c r="D17" s="82">
        <f t="shared" si="8"/>
        <v>74339.37000000001</v>
      </c>
      <c r="E17" s="82">
        <v>29000</v>
      </c>
      <c r="F17" s="82">
        <f>F8*C17</f>
        <v>5880</v>
      </c>
      <c r="G17" s="82"/>
      <c r="H17" s="84">
        <f t="shared" si="9"/>
        <v>103339.37000000001</v>
      </c>
      <c r="I17" s="82">
        <f t="shared" si="10"/>
        <v>103339.37000000001</v>
      </c>
      <c r="J17" s="82"/>
      <c r="K17" s="82"/>
      <c r="L17" s="81">
        <v>11</v>
      </c>
      <c r="M17" s="82">
        <f t="shared" si="0"/>
        <v>4103</v>
      </c>
      <c r="N17" s="85"/>
      <c r="O17" s="82">
        <f t="shared" si="1"/>
        <v>0</v>
      </c>
      <c r="P17" s="82">
        <v>9</v>
      </c>
      <c r="Q17" s="82">
        <f t="shared" si="2"/>
        <v>2934</v>
      </c>
      <c r="R17" s="81">
        <f t="shared" si="3"/>
        <v>49</v>
      </c>
      <c r="S17" s="82">
        <f t="shared" si="4"/>
        <v>1225</v>
      </c>
      <c r="T17" s="82"/>
      <c r="U17" s="82">
        <f t="shared" si="5"/>
        <v>0</v>
      </c>
      <c r="V17" s="86"/>
      <c r="W17" s="86">
        <f t="shared" si="6"/>
        <v>0</v>
      </c>
      <c r="X17" s="92">
        <v>25</v>
      </c>
      <c r="Y17" s="82">
        <f t="shared" si="12"/>
        <v>1800</v>
      </c>
      <c r="Z17" s="82">
        <v>43</v>
      </c>
      <c r="AA17" s="89">
        <f t="shared" si="7"/>
        <v>24940</v>
      </c>
      <c r="AB17" s="90">
        <f t="shared" si="11"/>
        <v>138341.37</v>
      </c>
      <c r="AC17" s="26"/>
      <c r="AD17" s="27"/>
    </row>
    <row r="18" spans="1:30" ht="18" customHeight="1" x14ac:dyDescent="0.2">
      <c r="A18" s="272" t="s">
        <v>24</v>
      </c>
      <c r="B18" s="273"/>
      <c r="C18" s="96">
        <f t="shared" ref="C18:I18" si="13">SUM(C9:C17)</f>
        <v>3085</v>
      </c>
      <c r="D18" s="97">
        <f t="shared" si="13"/>
        <v>4680346.0500000007</v>
      </c>
      <c r="E18" s="97">
        <f>SUM(E9:E17)</f>
        <v>261000</v>
      </c>
      <c r="F18" s="97"/>
      <c r="G18" s="97"/>
      <c r="H18" s="99">
        <f t="shared" si="13"/>
        <v>4941346.0500000007</v>
      </c>
      <c r="I18" s="97">
        <f t="shared" si="13"/>
        <v>4941346.0500000007</v>
      </c>
      <c r="J18" s="97"/>
      <c r="K18" s="97"/>
      <c r="L18" s="96">
        <f>SUM(L9:L17)</f>
        <v>73</v>
      </c>
      <c r="M18" s="97">
        <f t="shared" ref="M18:AA18" si="14">SUM(M9:M17)</f>
        <v>27229</v>
      </c>
      <c r="N18" s="96">
        <f t="shared" si="14"/>
        <v>2</v>
      </c>
      <c r="O18" s="96">
        <f t="shared" si="14"/>
        <v>6140</v>
      </c>
      <c r="P18" s="96">
        <f t="shared" si="14"/>
        <v>126</v>
      </c>
      <c r="Q18" s="97">
        <f t="shared" si="14"/>
        <v>41076</v>
      </c>
      <c r="R18" s="97">
        <f t="shared" si="14"/>
        <v>3085</v>
      </c>
      <c r="S18" s="97">
        <f>SUM(S9:S17)</f>
        <v>77125</v>
      </c>
      <c r="T18" s="97">
        <f>SUM(T9:T17)</f>
        <v>4</v>
      </c>
      <c r="U18" s="97">
        <f>SUM(U9:U17)</f>
        <v>3448</v>
      </c>
      <c r="V18" s="100">
        <f>SUM(V9:V17)</f>
        <v>525</v>
      </c>
      <c r="W18" s="100">
        <f t="shared" si="14"/>
        <v>45675</v>
      </c>
      <c r="X18" s="100">
        <f t="shared" si="14"/>
        <v>1323</v>
      </c>
      <c r="Y18" s="97">
        <f t="shared" si="14"/>
        <v>95256</v>
      </c>
      <c r="Z18" s="97">
        <f t="shared" si="14"/>
        <v>1675</v>
      </c>
      <c r="AA18" s="101">
        <f t="shared" si="14"/>
        <v>971500</v>
      </c>
      <c r="AB18" s="102">
        <f t="shared" si="11"/>
        <v>6208795.0500000007</v>
      </c>
      <c r="AC18" s="26"/>
      <c r="AD18" s="27"/>
    </row>
    <row r="19" spans="1:30" ht="22.5" customHeight="1" x14ac:dyDescent="0.2">
      <c r="A19" s="33">
        <v>10</v>
      </c>
      <c r="B19" s="34" t="s">
        <v>25</v>
      </c>
      <c r="C19" s="35">
        <v>71</v>
      </c>
      <c r="D19" s="19">
        <f t="shared" si="8"/>
        <v>107716.23000000001</v>
      </c>
      <c r="E19" s="35"/>
      <c r="F19" s="35"/>
      <c r="G19" s="35"/>
      <c r="H19" s="35"/>
      <c r="I19" s="35">
        <f>C19*D8</f>
        <v>107716.23000000001</v>
      </c>
      <c r="J19" s="35"/>
      <c r="K19" s="35"/>
      <c r="L19" s="35">
        <v>25</v>
      </c>
      <c r="M19" s="19">
        <f>L19*$M$8</f>
        <v>9325</v>
      </c>
      <c r="N19" s="35">
        <v>-1</v>
      </c>
      <c r="O19" s="19">
        <f>N19*$O$8</f>
        <v>-3070</v>
      </c>
      <c r="P19" s="35">
        <v>1</v>
      </c>
      <c r="Q19" s="19">
        <f>P19*$Q$8</f>
        <v>326</v>
      </c>
      <c r="R19" s="35">
        <v>71</v>
      </c>
      <c r="S19" s="19">
        <f>R19*$S$8</f>
        <v>1775</v>
      </c>
      <c r="T19" s="35">
        <v>1</v>
      </c>
      <c r="U19" s="19">
        <f>T19*$U$8</f>
        <v>862</v>
      </c>
      <c r="V19" s="35">
        <v>-61</v>
      </c>
      <c r="W19" s="23">
        <f>V19*$W$8</f>
        <v>-5307</v>
      </c>
      <c r="X19" s="35">
        <v>-2</v>
      </c>
      <c r="Y19" s="19">
        <f>X19*$Y$8</f>
        <v>-144</v>
      </c>
      <c r="Z19" s="35">
        <v>16</v>
      </c>
      <c r="AA19" s="77">
        <f>Z19*$AA$8</f>
        <v>9280</v>
      </c>
      <c r="AB19" s="78">
        <f t="shared" si="11"/>
        <v>120763.23000000001</v>
      </c>
      <c r="AC19" s="26"/>
      <c r="AD19" s="36"/>
    </row>
    <row r="20" spans="1:30" ht="20.25" customHeight="1" thickBot="1" x14ac:dyDescent="0.25">
      <c r="A20" s="37"/>
      <c r="B20" s="38" t="s">
        <v>26</v>
      </c>
      <c r="C20" s="39">
        <f>C18+C19</f>
        <v>3156</v>
      </c>
      <c r="D20" s="39">
        <f>D18+D19</f>
        <v>4788062.2800000012</v>
      </c>
      <c r="E20" s="40"/>
      <c r="F20" s="40"/>
      <c r="G20" s="40"/>
      <c r="H20" s="41">
        <f t="shared" ref="H20:AA20" si="15">H18+H19</f>
        <v>4941346.0500000007</v>
      </c>
      <c r="I20" s="40">
        <f t="shared" si="15"/>
        <v>5049062.2800000012</v>
      </c>
      <c r="J20" s="40"/>
      <c r="K20" s="40"/>
      <c r="L20" s="40">
        <f t="shared" si="15"/>
        <v>98</v>
      </c>
      <c r="M20" s="40">
        <f t="shared" si="15"/>
        <v>36554</v>
      </c>
      <c r="N20" s="40">
        <f t="shared" si="15"/>
        <v>1</v>
      </c>
      <c r="O20" s="40">
        <f t="shared" si="15"/>
        <v>3070</v>
      </c>
      <c r="P20" s="40">
        <f t="shared" si="15"/>
        <v>127</v>
      </c>
      <c r="Q20" s="40">
        <f t="shared" si="15"/>
        <v>41402</v>
      </c>
      <c r="R20" s="40">
        <f t="shared" si="15"/>
        <v>3156</v>
      </c>
      <c r="S20" s="40">
        <f t="shared" si="15"/>
        <v>78900</v>
      </c>
      <c r="T20" s="40">
        <f t="shared" si="15"/>
        <v>5</v>
      </c>
      <c r="U20" s="40">
        <f t="shared" si="15"/>
        <v>4310</v>
      </c>
      <c r="V20" s="40">
        <f t="shared" si="15"/>
        <v>464</v>
      </c>
      <c r="W20" s="40">
        <f t="shared" si="15"/>
        <v>40368</v>
      </c>
      <c r="X20" s="40">
        <f t="shared" si="15"/>
        <v>1321</v>
      </c>
      <c r="Y20" s="40">
        <f t="shared" si="15"/>
        <v>95112</v>
      </c>
      <c r="Z20" s="40">
        <f t="shared" si="15"/>
        <v>1691</v>
      </c>
      <c r="AA20" s="42">
        <f t="shared" si="15"/>
        <v>980780</v>
      </c>
      <c r="AB20" s="78">
        <f t="shared" si="11"/>
        <v>6329558.2800000012</v>
      </c>
      <c r="AC20" s="26"/>
      <c r="AD20" s="36"/>
    </row>
    <row r="21" spans="1:30" ht="35.25" customHeight="1" x14ac:dyDescent="0.2">
      <c r="A21" s="43"/>
      <c r="B21" s="43"/>
      <c r="C21" s="44"/>
      <c r="D21" s="44"/>
      <c r="E21" s="44"/>
      <c r="F21" s="44"/>
      <c r="G21" s="44"/>
      <c r="H21" s="26"/>
      <c r="I21" s="26"/>
      <c r="J21" s="26"/>
      <c r="K21" s="2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4"/>
      <c r="W21" s="44"/>
      <c r="X21" s="26"/>
      <c r="Y21" s="46"/>
      <c r="Z21" s="46"/>
      <c r="AA21" s="46"/>
      <c r="AB21" s="46"/>
      <c r="AC21" s="47"/>
      <c r="AD21" s="6"/>
    </row>
    <row r="22" spans="1:30" ht="15.75" customHeight="1" x14ac:dyDescent="0.25">
      <c r="A22" s="43"/>
      <c r="B22" s="48"/>
      <c r="C22" s="296" t="s">
        <v>27</v>
      </c>
      <c r="D22" s="296"/>
      <c r="E22" s="48"/>
      <c r="F22" s="48"/>
      <c r="G22" s="48"/>
      <c r="H22" s="48"/>
      <c r="I22" s="48"/>
      <c r="J22" s="48"/>
      <c r="K22" s="48"/>
      <c r="L22" s="48"/>
      <c r="M22" s="49"/>
      <c r="N22" s="49"/>
      <c r="O22" s="299"/>
      <c r="P22" s="299"/>
      <c r="Q22" s="299"/>
      <c r="R22" s="299"/>
      <c r="S22" s="299"/>
      <c r="T22" s="299"/>
      <c r="U22" s="299"/>
      <c r="V22" s="299"/>
      <c r="W22" s="299"/>
      <c r="X22" s="48"/>
      <c r="Y22" s="300" t="s">
        <v>28</v>
      </c>
      <c r="Z22" s="300"/>
      <c r="AA22" s="300"/>
      <c r="AB22" s="300"/>
    </row>
    <row r="23" spans="1:30" ht="15.75" customHeight="1" x14ac:dyDescent="0.25">
      <c r="A23" s="43"/>
      <c r="B23" s="48"/>
      <c r="C23" s="48"/>
      <c r="D23" s="51" t="s">
        <v>29</v>
      </c>
      <c r="E23" s="48"/>
      <c r="F23" s="48"/>
      <c r="G23" s="48"/>
      <c r="H23" s="48"/>
      <c r="I23" s="48"/>
      <c r="J23" s="48"/>
      <c r="K23" s="48"/>
      <c r="L23" s="48"/>
      <c r="M23" s="49"/>
      <c r="N23" s="49"/>
      <c r="O23" s="49"/>
      <c r="P23" s="49"/>
      <c r="Q23" s="49"/>
      <c r="R23" s="51"/>
      <c r="S23" s="48"/>
      <c r="T23" s="48"/>
      <c r="U23" s="48"/>
      <c r="V23" s="48"/>
      <c r="W23" s="48"/>
      <c r="X23" s="48"/>
      <c r="Y23" s="50"/>
      <c r="Z23" s="50"/>
      <c r="AA23" s="295" t="s">
        <v>30</v>
      </c>
      <c r="AB23" s="295"/>
    </row>
    <row r="24" spans="1:30" ht="7.5" customHeight="1" x14ac:dyDescent="0.2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296"/>
      <c r="R24" s="296"/>
      <c r="S24" s="296"/>
      <c r="T24" s="296"/>
      <c r="U24" s="296"/>
      <c r="V24" s="296"/>
      <c r="W24" s="296"/>
      <c r="X24" s="296"/>
      <c r="Y24" s="52"/>
      <c r="Z24" s="52"/>
      <c r="AA24" s="48"/>
      <c r="AB24" s="48"/>
    </row>
    <row r="25" spans="1:30" ht="27" customHeight="1" x14ac:dyDescent="0.25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2"/>
      <c r="M25" s="52"/>
      <c r="N25" s="52"/>
      <c r="O25" s="52"/>
      <c r="P25" s="52"/>
      <c r="Q25" s="52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297"/>
    </row>
    <row r="26" spans="1:30" ht="20.25" customHeight="1" x14ac:dyDescent="0.25">
      <c r="A26" s="10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4"/>
      <c r="M26" s="54"/>
      <c r="N26" s="54"/>
      <c r="O26" s="54"/>
      <c r="P26" s="54"/>
      <c r="Q26" s="54"/>
      <c r="R26" s="55"/>
      <c r="S26" s="298"/>
      <c r="T26" s="298"/>
      <c r="U26" s="298"/>
      <c r="V26" s="298"/>
      <c r="W26" s="298"/>
      <c r="X26" s="298"/>
      <c r="Y26" s="298"/>
      <c r="Z26" s="298"/>
      <c r="AA26" s="298"/>
      <c r="AB26" s="298"/>
    </row>
    <row r="27" spans="1:30" ht="15.75" customHeight="1" x14ac:dyDescent="0.2">
      <c r="A27" s="10"/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294"/>
      <c r="Y27" s="294"/>
      <c r="Z27" s="294"/>
      <c r="AA27" s="294"/>
      <c r="AB27" s="294"/>
    </row>
    <row r="28" spans="1:30" x14ac:dyDescent="0.2">
      <c r="A28" s="10"/>
      <c r="B28" s="58"/>
      <c r="C28" s="59"/>
      <c r="D28" s="59"/>
      <c r="E28" s="59"/>
      <c r="F28" s="59"/>
      <c r="G28" s="59"/>
      <c r="H28" s="61"/>
      <c r="I28" s="61"/>
      <c r="J28" s="61"/>
      <c r="K28" s="61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30" x14ac:dyDescent="0.2">
      <c r="A29" s="63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30" x14ac:dyDescent="0.2">
      <c r="A30" s="64"/>
      <c r="B30" s="58"/>
      <c r="C30" s="65"/>
      <c r="D30" s="59"/>
      <c r="E30" s="59"/>
      <c r="F30" s="59"/>
      <c r="G30" s="59"/>
      <c r="H30" s="65"/>
      <c r="I30" s="65"/>
      <c r="J30" s="65"/>
      <c r="K30" s="65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30" x14ac:dyDescent="0.2">
      <c r="A31" s="64"/>
      <c r="B31" s="66"/>
      <c r="C31" s="47"/>
      <c r="D31" s="47"/>
      <c r="E31" s="47"/>
      <c r="F31" s="47"/>
      <c r="G31" s="47"/>
      <c r="H31" s="67"/>
      <c r="I31" s="67"/>
      <c r="J31" s="67"/>
      <c r="K31" s="67"/>
    </row>
    <row r="32" spans="1:30" x14ac:dyDescent="0.2">
      <c r="A32" s="63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2" x14ac:dyDescent="0.2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2" x14ac:dyDescent="0.2">
      <c r="A34" s="64"/>
      <c r="B34" s="68"/>
      <c r="C34" s="9"/>
      <c r="D34" s="9"/>
      <c r="E34" s="9"/>
      <c r="F34" s="9"/>
      <c r="G34" s="9"/>
      <c r="H34" s="9"/>
      <c r="I34" s="9"/>
      <c r="J34" s="9"/>
      <c r="K34" s="9"/>
    </row>
    <row r="35" spans="1:12" x14ac:dyDescent="0.2">
      <c r="A35" s="63"/>
      <c r="B35" s="68"/>
      <c r="C35" s="9"/>
      <c r="D35" s="9"/>
      <c r="E35" s="9"/>
      <c r="F35" s="9"/>
      <c r="G35" s="9"/>
      <c r="H35" s="9"/>
      <c r="I35" s="9"/>
      <c r="J35" s="9"/>
      <c r="K35" s="9"/>
    </row>
    <row r="36" spans="1:12" x14ac:dyDescent="0.2">
      <c r="A36" s="64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2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2" x14ac:dyDescent="0.2">
      <c r="A38" s="63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2" x14ac:dyDescent="0.2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2" x14ac:dyDescent="0.2">
      <c r="A40" s="43"/>
      <c r="B40" s="43"/>
      <c r="C40" s="15"/>
      <c r="D40" s="15"/>
      <c r="E40" s="15"/>
      <c r="F40" s="15"/>
      <c r="G40" s="15"/>
      <c r="H40" s="15"/>
      <c r="I40" s="15"/>
      <c r="J40" s="15"/>
      <c r="K40" s="15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x14ac:dyDescent="0.2">
      <c r="A42" s="69"/>
      <c r="B42" s="69"/>
      <c r="C42" s="69"/>
      <c r="D42" s="47"/>
      <c r="E42" s="47"/>
      <c r="F42" s="47"/>
      <c r="G42" s="47"/>
      <c r="H42" s="47"/>
      <c r="I42" s="47"/>
      <c r="J42" s="47"/>
      <c r="K42" s="47"/>
      <c r="L42" s="47"/>
    </row>
    <row r="43" spans="1:12" ht="6.75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</row>
    <row r="44" spans="1:12" ht="5.2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1:12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47"/>
    </row>
    <row r="46" spans="1:12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47"/>
    </row>
    <row r="47" spans="1:12" x14ac:dyDescent="0.2">
      <c r="A47" s="67"/>
      <c r="B47" s="67"/>
      <c r="C47" s="47"/>
      <c r="D47" s="47"/>
      <c r="E47" s="47"/>
      <c r="F47" s="47"/>
      <c r="G47" s="47"/>
      <c r="H47" s="67"/>
      <c r="I47" s="67"/>
      <c r="J47" s="67"/>
      <c r="K47" s="67"/>
      <c r="L47" s="47"/>
    </row>
    <row r="48" spans="1:12" x14ac:dyDescent="0.2">
      <c r="A48" s="71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</row>
    <row r="49" spans="1:12" x14ac:dyDescent="0.2">
      <c r="A49" s="72"/>
      <c r="B49" s="73"/>
      <c r="C49" s="47"/>
      <c r="D49" s="47"/>
      <c r="E49" s="47"/>
      <c r="F49" s="47"/>
      <c r="G49" s="47"/>
      <c r="H49" s="47"/>
      <c r="I49" s="47"/>
      <c r="J49" s="47"/>
      <c r="K49" s="47"/>
      <c r="L49" s="47"/>
    </row>
    <row r="50" spans="1:12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</row>
    <row r="51" spans="1:12" x14ac:dyDescent="0.2">
      <c r="A51" s="71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</row>
    <row r="52" spans="1:12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</row>
    <row r="53" spans="1:12" x14ac:dyDescent="0.2">
      <c r="A53" s="72"/>
      <c r="B53" s="73"/>
      <c r="C53" s="47"/>
      <c r="D53" s="47"/>
      <c r="E53" s="47"/>
      <c r="F53" s="47"/>
      <c r="G53" s="47"/>
      <c r="H53" s="47"/>
      <c r="I53" s="47"/>
      <c r="J53" s="47"/>
      <c r="K53" s="47"/>
      <c r="L53" s="47"/>
    </row>
    <row r="54" spans="1:12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</row>
    <row r="55" spans="1:12" x14ac:dyDescent="0.2">
      <c r="A55" s="7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</row>
    <row r="56" spans="1:12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</row>
    <row r="57" spans="1:12" x14ac:dyDescent="0.2">
      <c r="A57" s="72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</row>
    <row r="58" spans="1:12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</row>
    <row r="59" spans="1:12" x14ac:dyDescent="0.2">
      <c r="A59" s="71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</row>
    <row r="60" spans="1:12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</row>
    <row r="61" spans="1:12" x14ac:dyDescent="0.2">
      <c r="A61" s="72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</row>
    <row r="62" spans="1:12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</row>
    <row r="63" spans="1:12" x14ac:dyDescent="0.2">
      <c r="A63" s="74"/>
      <c r="B63" s="74"/>
      <c r="C63" s="44"/>
      <c r="D63" s="44"/>
      <c r="E63" s="44"/>
      <c r="F63" s="44"/>
      <c r="G63" s="44"/>
      <c r="H63" s="44"/>
      <c r="I63" s="44"/>
      <c r="J63" s="44"/>
      <c r="K63" s="44"/>
      <c r="L63" s="47"/>
    </row>
    <row r="64" spans="1:12" ht="6.7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</row>
    <row r="65" spans="1:12" x14ac:dyDescent="0.2">
      <c r="A65" s="69"/>
      <c r="B65" s="69"/>
      <c r="C65" s="69"/>
      <c r="D65" s="47"/>
      <c r="E65" s="47"/>
      <c r="F65" s="47"/>
      <c r="G65" s="47"/>
      <c r="H65" s="47"/>
      <c r="I65" s="47"/>
      <c r="J65" s="47"/>
      <c r="K65" s="47"/>
      <c r="L65" s="47"/>
    </row>
    <row r="66" spans="1:12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</row>
    <row r="67" spans="1:12" x14ac:dyDescent="0.2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47"/>
    </row>
    <row r="68" spans="1:12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47"/>
    </row>
    <row r="69" spans="1:12" x14ac:dyDescent="0.2">
      <c r="A69" s="67"/>
      <c r="B69" s="67"/>
      <c r="C69" s="47"/>
      <c r="D69" s="47"/>
      <c r="E69" s="47"/>
      <c r="F69" s="47"/>
      <c r="G69" s="47"/>
      <c r="H69" s="67"/>
      <c r="I69" s="67"/>
      <c r="J69" s="67"/>
      <c r="K69" s="67"/>
      <c r="L69" s="47"/>
    </row>
    <row r="70" spans="1:12" x14ac:dyDescent="0.2">
      <c r="A70" s="71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</row>
    <row r="71" spans="1:12" x14ac:dyDescent="0.2">
      <c r="A71" s="72"/>
      <c r="B71" s="73"/>
      <c r="C71" s="47"/>
      <c r="D71" s="47"/>
      <c r="E71" s="47"/>
      <c r="F71" s="47"/>
      <c r="G71" s="47"/>
      <c r="H71" s="47"/>
      <c r="I71" s="47"/>
      <c r="J71" s="47"/>
      <c r="K71" s="47"/>
      <c r="L71" s="47"/>
    </row>
    <row r="72" spans="1:12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</row>
    <row r="73" spans="1:12" x14ac:dyDescent="0.2">
      <c r="A73" s="71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</row>
    <row r="74" spans="1:12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</row>
    <row r="75" spans="1:12" x14ac:dyDescent="0.2">
      <c r="A75" s="72"/>
      <c r="B75" s="73"/>
      <c r="C75" s="47"/>
      <c r="D75" s="47"/>
      <c r="E75" s="47"/>
      <c r="F75" s="47"/>
      <c r="G75" s="47"/>
      <c r="H75" s="47"/>
      <c r="I75" s="47"/>
      <c r="J75" s="47"/>
      <c r="K75" s="47"/>
      <c r="L75" s="47"/>
    </row>
    <row r="76" spans="1:12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</row>
    <row r="77" spans="1:12" x14ac:dyDescent="0.2">
      <c r="A77" s="71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</row>
    <row r="78" spans="1:12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</row>
    <row r="79" spans="1:12" x14ac:dyDescent="0.2">
      <c r="A79" s="7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</row>
    <row r="80" spans="1:12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</row>
    <row r="81" spans="1:12" x14ac:dyDescent="0.2">
      <c r="A81" s="71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</row>
    <row r="82" spans="1:12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</row>
    <row r="83" spans="1:12" x14ac:dyDescent="0.2">
      <c r="A83" s="72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</row>
    <row r="84" spans="1:12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</row>
    <row r="85" spans="1:12" x14ac:dyDescent="0.2">
      <c r="A85" s="74"/>
      <c r="B85" s="74"/>
      <c r="C85" s="44"/>
      <c r="D85" s="44"/>
      <c r="E85" s="44"/>
      <c r="F85" s="44"/>
      <c r="G85" s="44"/>
      <c r="H85" s="44"/>
      <c r="I85" s="44"/>
      <c r="J85" s="44"/>
      <c r="K85" s="44"/>
      <c r="L85" s="47"/>
    </row>
    <row r="86" spans="1:12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</row>
    <row r="87" spans="1:12" x14ac:dyDescent="0.2">
      <c r="A87" s="69"/>
      <c r="B87" s="69"/>
      <c r="C87" s="69"/>
      <c r="D87" s="47"/>
      <c r="E87" s="47"/>
      <c r="F87" s="47"/>
      <c r="G87" s="47"/>
      <c r="H87" s="47"/>
      <c r="I87" s="47"/>
      <c r="J87" s="47"/>
      <c r="K87" s="47"/>
      <c r="L87" s="47"/>
    </row>
    <row r="88" spans="1:12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</row>
    <row r="89" spans="1:12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</row>
    <row r="90" spans="1:12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</row>
    <row r="91" spans="1:12" x14ac:dyDescent="0.2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47"/>
    </row>
    <row r="92" spans="1:12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47"/>
    </row>
    <row r="93" spans="1:12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47"/>
    </row>
    <row r="94" spans="1:12" x14ac:dyDescent="0.2">
      <c r="A94" s="71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</row>
    <row r="95" spans="1:12" x14ac:dyDescent="0.2">
      <c r="A95" s="72"/>
      <c r="B95" s="73"/>
      <c r="C95" s="47"/>
      <c r="D95" s="47"/>
      <c r="E95" s="47"/>
      <c r="F95" s="47"/>
      <c r="G95" s="47"/>
      <c r="H95" s="47"/>
      <c r="I95" s="47"/>
      <c r="J95" s="47"/>
      <c r="K95" s="47"/>
      <c r="L95" s="47"/>
    </row>
    <row r="96" spans="1:12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</row>
    <row r="97" spans="1:12" x14ac:dyDescent="0.2">
      <c r="A97" s="71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">
      <c r="A99" s="72"/>
      <c r="B99" s="73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0" spans="1:12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</row>
    <row r="101" spans="1:12" x14ac:dyDescent="0.2">
      <c r="A101" s="71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</row>
    <row r="102" spans="1:12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</row>
    <row r="103" spans="1:12" x14ac:dyDescent="0.2">
      <c r="A103" s="72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</row>
    <row r="104" spans="1:12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</row>
    <row r="105" spans="1:12" x14ac:dyDescent="0.2">
      <c r="A105" s="71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</row>
    <row r="106" spans="1:12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</row>
    <row r="107" spans="1:12" x14ac:dyDescent="0.2">
      <c r="A107" s="72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</row>
    <row r="108" spans="1:12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</row>
    <row r="109" spans="1:12" x14ac:dyDescent="0.2">
      <c r="A109" s="74"/>
      <c r="B109" s="74"/>
      <c r="C109" s="44"/>
      <c r="D109" s="44"/>
      <c r="E109" s="44"/>
      <c r="F109" s="44"/>
      <c r="G109" s="44"/>
      <c r="H109" s="44"/>
      <c r="I109" s="44"/>
      <c r="J109" s="44"/>
      <c r="K109" s="44"/>
      <c r="L109" s="47"/>
    </row>
    <row r="110" spans="1:12" x14ac:dyDescent="0.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</row>
    <row r="111" spans="1:12" x14ac:dyDescent="0.2">
      <c r="A111" s="69"/>
      <c r="B111" s="69"/>
      <c r="C111" s="69"/>
      <c r="D111" s="47"/>
      <c r="E111" s="47"/>
      <c r="F111" s="47"/>
      <c r="G111" s="47"/>
      <c r="H111" s="47"/>
      <c r="I111" s="47"/>
      <c r="J111" s="47"/>
      <c r="K111" s="47"/>
      <c r="L111" s="47"/>
    </row>
    <row r="112" spans="1:12" x14ac:dyDescent="0.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</row>
    <row r="113" spans="1:12" x14ac:dyDescent="0.2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47"/>
    </row>
    <row r="114" spans="1:12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47"/>
    </row>
    <row r="115" spans="1:12" x14ac:dyDescent="0.2">
      <c r="A115" s="67"/>
      <c r="B115" s="67"/>
      <c r="C115" s="47"/>
      <c r="D115" s="47"/>
      <c r="E115" s="47"/>
      <c r="F115" s="47"/>
      <c r="G115" s="47"/>
      <c r="H115" s="67"/>
      <c r="I115" s="67"/>
      <c r="J115" s="67"/>
      <c r="K115" s="67"/>
      <c r="L115" s="47"/>
    </row>
    <row r="116" spans="1:12" x14ac:dyDescent="0.2">
      <c r="A116" s="71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</row>
    <row r="117" spans="1:12" x14ac:dyDescent="0.2">
      <c r="A117" s="72"/>
      <c r="B117" s="73"/>
      <c r="C117" s="47"/>
      <c r="D117" s="47"/>
      <c r="E117" s="47"/>
      <c r="F117" s="47"/>
      <c r="G117" s="47"/>
      <c r="H117" s="47"/>
      <c r="I117" s="47"/>
      <c r="J117" s="47"/>
      <c r="K117" s="47"/>
      <c r="L117" s="47"/>
    </row>
    <row r="118" spans="1:12" x14ac:dyDescent="0.2">
      <c r="A118" s="72"/>
      <c r="B118" s="73"/>
      <c r="C118" s="47"/>
      <c r="D118" s="47"/>
      <c r="E118" s="47"/>
      <c r="F118" s="47"/>
      <c r="G118" s="47"/>
      <c r="H118" s="47"/>
      <c r="I118" s="47"/>
      <c r="J118" s="47"/>
      <c r="K118" s="47"/>
      <c r="L118" s="47"/>
    </row>
    <row r="119" spans="1:12" x14ac:dyDescent="0.2">
      <c r="A119" s="71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</row>
    <row r="120" spans="1:12" x14ac:dyDescent="0.2">
      <c r="A120" s="72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</row>
    <row r="121" spans="1:12" x14ac:dyDescent="0.2">
      <c r="A121" s="72"/>
      <c r="B121" s="73"/>
      <c r="C121" s="47"/>
      <c r="D121" s="47"/>
      <c r="E121" s="47"/>
      <c r="F121" s="47"/>
      <c r="G121" s="47"/>
      <c r="H121" s="47"/>
      <c r="I121" s="47"/>
      <c r="J121" s="47"/>
      <c r="K121" s="47"/>
      <c r="L121" s="47"/>
    </row>
    <row r="122" spans="1:12" x14ac:dyDescent="0.2">
      <c r="A122" s="71"/>
      <c r="B122" s="73"/>
      <c r="C122" s="47"/>
      <c r="D122" s="47"/>
      <c r="E122" s="47"/>
      <c r="F122" s="47"/>
      <c r="G122" s="47"/>
      <c r="H122" s="47"/>
      <c r="I122" s="47"/>
      <c r="J122" s="47"/>
      <c r="K122" s="47"/>
      <c r="L122" s="47"/>
    </row>
    <row r="123" spans="1:12" x14ac:dyDescent="0.2">
      <c r="A123" s="72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</row>
    <row r="124" spans="1:12" x14ac:dyDescent="0.2">
      <c r="A124" s="72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</row>
    <row r="125" spans="1:12" x14ac:dyDescent="0.2">
      <c r="A125" s="71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</row>
    <row r="126" spans="1:12" x14ac:dyDescent="0.2">
      <c r="A126" s="72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</row>
    <row r="127" spans="1:12" x14ac:dyDescent="0.2">
      <c r="A127" s="74"/>
      <c r="B127" s="74"/>
      <c r="C127" s="44"/>
      <c r="D127" s="44"/>
      <c r="E127" s="44"/>
      <c r="F127" s="44"/>
      <c r="G127" s="44"/>
      <c r="H127" s="44"/>
      <c r="I127" s="44"/>
      <c r="J127" s="44"/>
      <c r="K127" s="44"/>
      <c r="L127" s="47"/>
    </row>
    <row r="128" spans="1:12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</row>
    <row r="129" spans="1:12" x14ac:dyDescent="0.2">
      <c r="A129" s="69"/>
      <c r="B129" s="69"/>
      <c r="C129" s="47"/>
      <c r="D129" s="47"/>
      <c r="E129" s="47"/>
      <c r="F129" s="47"/>
      <c r="G129" s="47"/>
      <c r="H129" s="47"/>
      <c r="I129" s="47"/>
      <c r="J129" s="47"/>
      <c r="K129" s="47"/>
      <c r="L129" s="47"/>
    </row>
    <row r="130" spans="1:12" x14ac:dyDescent="0.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</row>
    <row r="131" spans="1:12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</row>
    <row r="132" spans="1:12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</row>
    <row r="133" spans="1:12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</row>
    <row r="134" spans="1:12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</row>
    <row r="135" spans="1:12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</row>
    <row r="136" spans="1:12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</row>
    <row r="137" spans="1:12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</row>
    <row r="138" spans="1:12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</row>
    <row r="139" spans="1:12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</row>
    <row r="140" spans="1:12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</row>
    <row r="141" spans="1:12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</row>
    <row r="142" spans="1:12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</row>
    <row r="143" spans="1:12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</row>
    <row r="144" spans="1:12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</row>
    <row r="145" spans="1:12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</row>
    <row r="146" spans="1:12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</row>
    <row r="147" spans="1:12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</row>
    <row r="148" spans="1:12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</row>
    <row r="149" spans="1:12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</row>
    <row r="150" spans="1:12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</row>
    <row r="151" spans="1:12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</row>
    <row r="152" spans="1:12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</row>
    <row r="153" spans="1:12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</row>
    <row r="154" spans="1:12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</row>
    <row r="155" spans="1:12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</row>
    <row r="156" spans="1:12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</row>
    <row r="157" spans="1:12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</row>
    <row r="158" spans="1:12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</row>
    <row r="159" spans="1:12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</row>
    <row r="160" spans="1:12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</row>
    <row r="161" spans="1:12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</row>
    <row r="162" spans="1:12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</row>
    <row r="163" spans="1:12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</row>
    <row r="164" spans="1:12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</row>
    <row r="165" spans="1:12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</row>
    <row r="166" spans="1:12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</row>
    <row r="167" spans="1:12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</row>
    <row r="168" spans="1:12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</row>
    <row r="169" spans="1:12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</row>
    <row r="170" spans="1:12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</row>
    <row r="171" spans="1:12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</row>
    <row r="172" spans="1:12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</row>
    <row r="173" spans="1:12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</row>
    <row r="174" spans="1:12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</row>
    <row r="175" spans="1:12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</row>
    <row r="176" spans="1:12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</row>
    <row r="177" spans="1:12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</row>
    <row r="178" spans="1:12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</row>
    <row r="179" spans="1:12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</row>
    <row r="180" spans="1:12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</row>
    <row r="181" spans="1:12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</row>
    <row r="182" spans="1:12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</row>
    <row r="183" spans="1:12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</row>
  </sheetData>
  <mergeCells count="38">
    <mergeCell ref="C22:D22"/>
    <mergeCell ref="O22:W22"/>
    <mergeCell ref="Y22:AB22"/>
    <mergeCell ref="Z6:AA7"/>
    <mergeCell ref="N6:O7"/>
    <mergeCell ref="P6:Q7"/>
    <mergeCell ref="R6:S7"/>
    <mergeCell ref="I6:I8"/>
    <mergeCell ref="L6:M7"/>
    <mergeCell ref="X27:AB27"/>
    <mergeCell ref="AA23:AB23"/>
    <mergeCell ref="Q24:X24"/>
    <mergeCell ref="R25:AB25"/>
    <mergeCell ref="S26:AB26"/>
    <mergeCell ref="AH7:AH8"/>
    <mergeCell ref="A18:B18"/>
    <mergeCell ref="Z5:AA5"/>
    <mergeCell ref="AB5:AB8"/>
    <mergeCell ref="AC5:AC8"/>
    <mergeCell ref="A6:A8"/>
    <mergeCell ref="B6:B8"/>
    <mergeCell ref="C6:D7"/>
    <mergeCell ref="E6:E8"/>
    <mergeCell ref="H6:H8"/>
    <mergeCell ref="AG7:AG8"/>
    <mergeCell ref="T6:U7"/>
    <mergeCell ref="V6:W7"/>
    <mergeCell ref="X6:Y7"/>
    <mergeCell ref="X2:AB2"/>
    <mergeCell ref="A3:AA3"/>
    <mergeCell ref="C5:I5"/>
    <mergeCell ref="L5:M5"/>
    <mergeCell ref="N5:O5"/>
    <mergeCell ref="P5:Q5"/>
    <mergeCell ref="R5:S5"/>
    <mergeCell ref="T5:U5"/>
    <mergeCell ref="V5:W5"/>
    <mergeCell ref="X5:Y5"/>
  </mergeCells>
  <phoneticPr fontId="2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4"/>
  <sheetViews>
    <sheetView topLeftCell="A7" zoomScaleNormal="100" workbookViewId="0">
      <selection activeCell="K15" sqref="K15"/>
    </sheetView>
  </sheetViews>
  <sheetFormatPr defaultColWidth="13" defaultRowHeight="11.25" x14ac:dyDescent="0.2"/>
  <cols>
    <col min="1" max="1" width="2.85546875" style="1" customWidth="1"/>
    <col min="2" max="2" width="14.28515625" style="1" customWidth="1"/>
    <col min="3" max="3" width="4.5703125" style="1" customWidth="1"/>
    <col min="4" max="4" width="7" style="1" customWidth="1"/>
    <col min="5" max="5" width="6.42578125" style="1" customWidth="1"/>
    <col min="6" max="6" width="9.7109375" style="1" customWidth="1"/>
    <col min="7" max="7" width="10.140625" style="1" customWidth="1"/>
    <col min="8" max="8" width="7.28515625" style="1" customWidth="1"/>
    <col min="9" max="9" width="8.28515625" style="1" customWidth="1"/>
    <col min="10" max="11" width="6.140625" style="1" customWidth="1"/>
    <col min="12" max="12" width="6.5703125" style="1" customWidth="1"/>
    <col min="13" max="13" width="6.85546875" style="1" customWidth="1"/>
    <col min="14" max="14" width="6.140625" style="1" customWidth="1"/>
    <col min="15" max="15" width="7.140625" style="1" customWidth="1"/>
    <col min="16" max="16" width="5.5703125" style="1" customWidth="1"/>
    <col min="17" max="17" width="7.42578125" style="1" customWidth="1"/>
    <col min="18" max="18" width="3.7109375" style="1" customWidth="1"/>
    <col min="19" max="19" width="5.7109375" style="1" customWidth="1"/>
    <col min="20" max="20" width="3.140625" style="1" customWidth="1"/>
    <col min="21" max="21" width="5" style="1" customWidth="1"/>
    <col min="22" max="23" width="5.28515625" style="1" customWidth="1"/>
    <col min="24" max="24" width="3.42578125" style="1" customWidth="1"/>
    <col min="25" max="25" width="4.7109375" style="1" customWidth="1"/>
    <col min="26" max="26" width="4.140625" style="1" customWidth="1"/>
    <col min="27" max="27" width="6" style="1" customWidth="1"/>
    <col min="28" max="28" width="5.28515625" style="1" customWidth="1"/>
    <col min="29" max="29" width="5.7109375" style="1" customWidth="1"/>
    <col min="30" max="30" width="5.5703125" style="1" customWidth="1"/>
    <col min="31" max="31" width="8" style="1" customWidth="1"/>
    <col min="32" max="32" width="9" style="1" customWidth="1"/>
    <col min="33" max="33" width="4.7109375" style="1" customWidth="1"/>
    <col min="34" max="34" width="7.5703125" style="1" customWidth="1"/>
    <col min="35" max="35" width="4.28515625" style="1" customWidth="1"/>
    <col min="36" max="37" width="7.5703125" style="1" customWidth="1"/>
    <col min="38" max="38" width="5.7109375" style="1" customWidth="1"/>
    <col min="39" max="39" width="7.140625" style="1" customWidth="1"/>
    <col min="40" max="40" width="5.42578125" style="1" customWidth="1"/>
    <col min="41" max="41" width="5.5703125" style="1" customWidth="1"/>
    <col min="42" max="42" width="4.28515625" style="1" customWidth="1"/>
    <col min="43" max="45" width="7.5703125" style="1" customWidth="1"/>
    <col min="46" max="46" width="7.28515625" style="1" customWidth="1"/>
    <col min="47" max="47" width="6.7109375" style="1" customWidth="1"/>
    <col min="48" max="16384" width="13" style="1"/>
  </cols>
  <sheetData>
    <row r="1" spans="1:54" ht="14.25" customHeight="1" x14ac:dyDescent="0.2">
      <c r="AF1" s="55" t="s">
        <v>0</v>
      </c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  <c r="AS1" s="55"/>
    </row>
    <row r="2" spans="1:54" ht="18" customHeight="1" x14ac:dyDescent="0.2">
      <c r="AB2" s="265"/>
      <c r="AC2" s="265"/>
      <c r="AD2" s="265"/>
      <c r="AE2" s="265"/>
      <c r="AF2" s="265"/>
    </row>
    <row r="3" spans="1:54" ht="55.5" customHeight="1" x14ac:dyDescent="0.2">
      <c r="A3" s="266" t="s">
        <v>33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66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54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54" ht="30" customHeight="1" x14ac:dyDescent="0.2">
      <c r="A5" s="4"/>
      <c r="B5" s="5"/>
      <c r="C5" s="267" t="s">
        <v>1</v>
      </c>
      <c r="D5" s="268"/>
      <c r="E5" s="268"/>
      <c r="F5" s="268"/>
      <c r="G5" s="268"/>
      <c r="H5" s="269"/>
      <c r="I5" s="307" t="s">
        <v>39</v>
      </c>
      <c r="J5" s="308"/>
      <c r="K5" s="308"/>
      <c r="L5" s="308"/>
      <c r="M5" s="308"/>
      <c r="N5" s="308"/>
      <c r="O5" s="308"/>
      <c r="P5" s="308"/>
      <c r="Q5" s="309"/>
      <c r="R5" s="267" t="s">
        <v>2</v>
      </c>
      <c r="S5" s="269"/>
      <c r="T5" s="267" t="s">
        <v>2</v>
      </c>
      <c r="U5" s="269"/>
      <c r="V5" s="270" t="s">
        <v>2</v>
      </c>
      <c r="W5" s="270"/>
      <c r="X5" s="270" t="s">
        <v>2</v>
      </c>
      <c r="Y5" s="270"/>
      <c r="Z5" s="267" t="s">
        <v>2</v>
      </c>
      <c r="AA5" s="268"/>
      <c r="AB5" s="270" t="s">
        <v>2</v>
      </c>
      <c r="AC5" s="270"/>
      <c r="AD5" s="270" t="s">
        <v>2</v>
      </c>
      <c r="AE5" s="267"/>
      <c r="AF5" s="274" t="s">
        <v>3</v>
      </c>
      <c r="AG5" s="267" t="s">
        <v>2</v>
      </c>
      <c r="AH5" s="269"/>
      <c r="AI5" s="310" t="s">
        <v>2</v>
      </c>
      <c r="AJ5" s="311"/>
      <c r="AK5" s="315" t="e">
        <f>#REF!</f>
        <v>#REF!</v>
      </c>
      <c r="AL5" s="314" t="e">
        <f>#REF!</f>
        <v>#REF!</v>
      </c>
      <c r="AM5" s="314"/>
      <c r="AN5" s="314"/>
      <c r="AO5" s="314"/>
      <c r="AP5" s="314"/>
      <c r="AQ5" s="314"/>
      <c r="AR5" s="314" t="e">
        <f>#REF!</f>
        <v>#REF!</v>
      </c>
      <c r="AS5" s="314" t="e">
        <f>#REF!</f>
        <v>#REF!</v>
      </c>
      <c r="AT5" s="277" t="s">
        <v>38</v>
      </c>
      <c r="AU5" s="6"/>
    </row>
    <row r="6" spans="1:54" ht="30.75" customHeight="1" x14ac:dyDescent="0.2">
      <c r="A6" s="278" t="s">
        <v>4</v>
      </c>
      <c r="B6" s="279" t="s">
        <v>5</v>
      </c>
      <c r="C6" s="317" t="s">
        <v>31</v>
      </c>
      <c r="D6" s="318"/>
      <c r="E6" s="321" t="s">
        <v>32</v>
      </c>
      <c r="F6" s="329" t="s">
        <v>6</v>
      </c>
      <c r="G6" s="287" t="s">
        <v>7</v>
      </c>
      <c r="H6" s="328" t="s">
        <v>7</v>
      </c>
      <c r="I6" s="117"/>
      <c r="J6" s="117"/>
      <c r="K6" s="331">
        <v>18835.599999999999</v>
      </c>
      <c r="L6" s="332"/>
      <c r="M6" s="337">
        <v>28253.4</v>
      </c>
      <c r="N6" s="338"/>
      <c r="O6" s="339"/>
      <c r="P6" s="120"/>
      <c r="Q6" s="122"/>
      <c r="R6" s="324" t="s">
        <v>8</v>
      </c>
      <c r="S6" s="325"/>
      <c r="T6" s="324" t="s">
        <v>9</v>
      </c>
      <c r="U6" s="325"/>
      <c r="V6" s="324" t="s">
        <v>10</v>
      </c>
      <c r="W6" s="325"/>
      <c r="X6" s="324" t="s">
        <v>35</v>
      </c>
      <c r="Y6" s="325"/>
      <c r="Z6" s="317" t="s">
        <v>11</v>
      </c>
      <c r="AA6" s="335"/>
      <c r="AB6" s="324" t="s">
        <v>12</v>
      </c>
      <c r="AC6" s="325"/>
      <c r="AD6" s="324" t="s">
        <v>13</v>
      </c>
      <c r="AE6" s="333"/>
      <c r="AF6" s="275"/>
      <c r="AG6" s="303" t="s">
        <v>34</v>
      </c>
      <c r="AH6" s="304"/>
      <c r="AI6" s="312" t="e">
        <f>#REF!</f>
        <v>#REF!</v>
      </c>
      <c r="AJ6" s="313"/>
      <c r="AK6" s="316"/>
      <c r="AL6" s="314" t="e">
        <f>#REF!</f>
        <v>#REF!</v>
      </c>
      <c r="AM6" s="314"/>
      <c r="AN6" s="314"/>
      <c r="AO6" s="314"/>
      <c r="AP6" s="314"/>
      <c r="AQ6" s="314"/>
      <c r="AR6" s="314"/>
      <c r="AS6" s="314"/>
      <c r="AT6" s="277"/>
      <c r="AU6" s="6"/>
    </row>
    <row r="7" spans="1:54" ht="51" customHeight="1" x14ac:dyDescent="0.2">
      <c r="A7" s="278"/>
      <c r="B7" s="279"/>
      <c r="C7" s="319"/>
      <c r="D7" s="320"/>
      <c r="E7" s="322"/>
      <c r="F7" s="330"/>
      <c r="G7" s="287"/>
      <c r="H7" s="328"/>
      <c r="I7" s="118" t="s">
        <v>42</v>
      </c>
      <c r="J7" s="119" t="s">
        <v>38</v>
      </c>
      <c r="K7" s="119" t="s">
        <v>43</v>
      </c>
      <c r="L7" s="119" t="s">
        <v>44</v>
      </c>
      <c r="M7" s="139" t="s">
        <v>57</v>
      </c>
      <c r="N7" s="139" t="s">
        <v>58</v>
      </c>
      <c r="O7" s="139" t="s">
        <v>59</v>
      </c>
      <c r="P7" s="119" t="s">
        <v>40</v>
      </c>
      <c r="Q7" s="340" t="s">
        <v>41</v>
      </c>
      <c r="R7" s="326"/>
      <c r="S7" s="327"/>
      <c r="T7" s="326"/>
      <c r="U7" s="327"/>
      <c r="V7" s="326"/>
      <c r="W7" s="327"/>
      <c r="X7" s="326"/>
      <c r="Y7" s="327"/>
      <c r="Z7" s="319"/>
      <c r="AA7" s="336"/>
      <c r="AB7" s="326"/>
      <c r="AC7" s="327"/>
      <c r="AD7" s="326"/>
      <c r="AE7" s="334"/>
      <c r="AF7" s="275"/>
      <c r="AG7" s="305"/>
      <c r="AH7" s="306"/>
      <c r="AI7" s="312"/>
      <c r="AJ7" s="313"/>
      <c r="AK7" s="316"/>
      <c r="AL7" s="314" t="e">
        <f>#REF!</f>
        <v>#REF!</v>
      </c>
      <c r="AM7" s="314"/>
      <c r="AN7" s="314" t="e">
        <f>#REF!</f>
        <v>#REF!</v>
      </c>
      <c r="AO7" s="314"/>
      <c r="AP7" s="314" t="e">
        <f>#REF!</f>
        <v>#REF!</v>
      </c>
      <c r="AQ7" s="314"/>
      <c r="AR7" s="314"/>
      <c r="AS7" s="314"/>
      <c r="AT7" s="277"/>
      <c r="AU7" s="6"/>
      <c r="AW7" s="9"/>
      <c r="AX7" s="271"/>
      <c r="AY7" s="271"/>
      <c r="AZ7" s="10"/>
      <c r="BA7" s="9"/>
      <c r="BB7" s="9"/>
    </row>
    <row r="8" spans="1:54" ht="31.5" customHeight="1" x14ac:dyDescent="0.2">
      <c r="A8" s="278"/>
      <c r="B8" s="279"/>
      <c r="C8" s="182"/>
      <c r="D8" s="183"/>
      <c r="E8" s="322"/>
      <c r="F8" s="153"/>
      <c r="G8" s="287"/>
      <c r="H8" s="328"/>
      <c r="I8" s="118"/>
      <c r="J8" s="119"/>
      <c r="K8" s="184">
        <f>0.25*K6</f>
        <v>4708.8999999999996</v>
      </c>
      <c r="L8" s="184">
        <f>0.75*K6</f>
        <v>14126.699999999999</v>
      </c>
      <c r="M8" s="184">
        <f>0.49434*M6</f>
        <v>13966.785756000001</v>
      </c>
      <c r="N8" s="184">
        <f>0.10374*M6</f>
        <v>2931.0077160000001</v>
      </c>
      <c r="O8" s="184">
        <f>0.402*M6</f>
        <v>11357.866800000002</v>
      </c>
      <c r="P8" s="119"/>
      <c r="Q8" s="340"/>
      <c r="R8" s="154"/>
      <c r="S8" s="155"/>
      <c r="T8" s="154"/>
      <c r="U8" s="155"/>
      <c r="V8" s="154"/>
      <c r="W8" s="155"/>
      <c r="X8" s="154"/>
      <c r="Y8" s="155"/>
      <c r="Z8" s="157"/>
      <c r="AA8" s="158"/>
      <c r="AB8" s="154"/>
      <c r="AC8" s="155"/>
      <c r="AD8" s="154"/>
      <c r="AE8" s="156"/>
      <c r="AF8" s="275"/>
      <c r="AG8" s="151"/>
      <c r="AH8" s="152"/>
      <c r="AI8" s="162"/>
      <c r="AJ8" s="164"/>
      <c r="AK8" s="316"/>
      <c r="AL8" s="13"/>
      <c r="AM8" s="13"/>
      <c r="AN8" s="13"/>
      <c r="AO8" s="13"/>
      <c r="AP8" s="13"/>
      <c r="AQ8" s="13"/>
      <c r="AR8" s="314"/>
      <c r="AS8" s="314"/>
      <c r="AT8" s="277"/>
      <c r="AU8" s="6"/>
      <c r="AW8" s="9"/>
      <c r="AX8" s="271"/>
      <c r="AY8" s="271"/>
      <c r="AZ8" s="10"/>
      <c r="BA8" s="9"/>
      <c r="BB8" s="9"/>
    </row>
    <row r="9" spans="1:54" ht="41.25" customHeight="1" x14ac:dyDescent="0.2">
      <c r="A9" s="278"/>
      <c r="B9" s="279"/>
      <c r="C9" s="132" t="s">
        <v>14</v>
      </c>
      <c r="D9" s="133">
        <v>1611</v>
      </c>
      <c r="E9" s="323"/>
      <c r="F9" s="134">
        <v>4708935</v>
      </c>
      <c r="G9" s="287"/>
      <c r="H9" s="328"/>
      <c r="I9" s="114"/>
      <c r="J9" s="120"/>
      <c r="K9" s="120" t="s">
        <v>52</v>
      </c>
      <c r="L9" s="121" t="s">
        <v>53</v>
      </c>
      <c r="M9" s="121" t="s">
        <v>49</v>
      </c>
      <c r="N9" s="121" t="s">
        <v>50</v>
      </c>
      <c r="O9" s="121" t="s">
        <v>51</v>
      </c>
      <c r="P9" s="121"/>
      <c r="Q9" s="341"/>
      <c r="R9" s="124" t="s">
        <v>14</v>
      </c>
      <c r="S9" s="125">
        <v>373</v>
      </c>
      <c r="T9" s="124" t="s">
        <v>14</v>
      </c>
      <c r="U9" s="126">
        <v>3070</v>
      </c>
      <c r="V9" s="124" t="s">
        <v>14</v>
      </c>
      <c r="W9" s="126">
        <v>25</v>
      </c>
      <c r="X9" s="124" t="s">
        <v>14</v>
      </c>
      <c r="Y9" s="126">
        <v>862</v>
      </c>
      <c r="Z9" s="124" t="s">
        <v>14</v>
      </c>
      <c r="AA9" s="124">
        <v>87</v>
      </c>
      <c r="AB9" s="124" t="s">
        <v>14</v>
      </c>
      <c r="AC9" s="126">
        <v>72</v>
      </c>
      <c r="AD9" s="124" t="s">
        <v>14</v>
      </c>
      <c r="AE9" s="127">
        <v>580</v>
      </c>
      <c r="AF9" s="276"/>
      <c r="AG9" s="8" t="s">
        <v>14</v>
      </c>
      <c r="AH9" s="13">
        <v>326</v>
      </c>
      <c r="AI9" s="13" t="e">
        <f>#REF!</f>
        <v>#REF!</v>
      </c>
      <c r="AJ9" s="76" t="e">
        <f>#REF!</f>
        <v>#REF!</v>
      </c>
      <c r="AK9" s="316"/>
      <c r="AL9" s="13" t="e">
        <f>#REF!</f>
        <v>#REF!</v>
      </c>
      <c r="AM9" s="13" t="e">
        <f>#REF!</f>
        <v>#REF!</v>
      </c>
      <c r="AN9" s="13" t="e">
        <f>#REF!</f>
        <v>#REF!</v>
      </c>
      <c r="AO9" s="13" t="e">
        <f>#REF!</f>
        <v>#REF!</v>
      </c>
      <c r="AP9" s="13" t="e">
        <f>#REF!</f>
        <v>#REF!</v>
      </c>
      <c r="AQ9" s="13" t="e">
        <f>#REF!</f>
        <v>#REF!</v>
      </c>
      <c r="AR9" s="314"/>
      <c r="AS9" s="314"/>
      <c r="AT9" s="277"/>
      <c r="AU9" s="14"/>
      <c r="AW9" s="9"/>
      <c r="AX9" s="271"/>
      <c r="AY9" s="271"/>
      <c r="AZ9" s="15"/>
      <c r="BA9" s="9"/>
      <c r="BB9" s="9"/>
    </row>
    <row r="10" spans="1:54" ht="27" customHeight="1" x14ac:dyDescent="0.2">
      <c r="A10" s="79">
        <v>1</v>
      </c>
      <c r="B10" s="129" t="s">
        <v>15</v>
      </c>
      <c r="C10" s="81">
        <v>320</v>
      </c>
      <c r="D10" s="82">
        <f>$D$9*C10</f>
        <v>515520</v>
      </c>
      <c r="E10" s="82">
        <v>29000</v>
      </c>
      <c r="F10" s="83">
        <f t="shared" ref="F10:F18" si="0">$F$9*C10/$C$19</f>
        <v>488447.06645056728</v>
      </c>
      <c r="G10" s="84">
        <f>F10+E10</f>
        <v>517447.06645056728</v>
      </c>
      <c r="H10" s="82">
        <f>G10</f>
        <v>517447.06645056728</v>
      </c>
      <c r="I10" s="115">
        <f>F10-F10*1%</f>
        <v>483562.5957860616</v>
      </c>
      <c r="J10" s="128">
        <f>F10*1%</f>
        <v>4884.4706645056731</v>
      </c>
      <c r="K10" s="128">
        <f>C10*K8/1510</f>
        <v>997.91258278145699</v>
      </c>
      <c r="L10" s="128"/>
      <c r="M10" s="128"/>
      <c r="N10" s="128">
        <f>C10*N8/320</f>
        <v>2931.0077160000001</v>
      </c>
      <c r="O10" s="128"/>
      <c r="P10" s="128">
        <f>SUM(K10:O10)</f>
        <v>3928.9202987814569</v>
      </c>
      <c r="Q10" s="128">
        <f>SUM(I10,P10)</f>
        <v>487491.51608484308</v>
      </c>
      <c r="R10" s="81">
        <v>3</v>
      </c>
      <c r="S10" s="82">
        <f t="shared" ref="S10:S18" si="1">R10*$S$9</f>
        <v>1119</v>
      </c>
      <c r="T10" s="82">
        <v>1</v>
      </c>
      <c r="U10" s="82">
        <f t="shared" ref="U10:U18" si="2">T10*$U$9</f>
        <v>3070</v>
      </c>
      <c r="V10" s="81">
        <f t="shared" ref="V10:V18" si="3">C10</f>
        <v>320</v>
      </c>
      <c r="W10" s="82">
        <f t="shared" ref="W10:W18" si="4">V10*$W$9</f>
        <v>8000</v>
      </c>
      <c r="X10" s="82"/>
      <c r="Y10" s="82">
        <f t="shared" ref="Y10:Y18" si="5">X10*$Y$9</f>
        <v>0</v>
      </c>
      <c r="Z10" s="86">
        <v>215</v>
      </c>
      <c r="AA10" s="86">
        <f t="shared" ref="AA10:AA18" si="6">Z10*$AA$9</f>
        <v>18705</v>
      </c>
      <c r="AB10" s="87"/>
      <c r="AC10" s="88"/>
      <c r="AD10" s="82"/>
      <c r="AE10" s="89">
        <f t="shared" ref="AE10:AE18" si="7">AD10*$AE$9</f>
        <v>0</v>
      </c>
      <c r="AF10" s="159">
        <f>Q10+E10+S10+U10+W10+AA10+AC10+AE10+Y10</f>
        <v>547385.51608484308</v>
      </c>
      <c r="AG10" s="82">
        <v>1</v>
      </c>
      <c r="AH10" s="82">
        <f>AG10*$AH$9</f>
        <v>326</v>
      </c>
      <c r="AI10" s="82" t="e">
        <f>#REF!</f>
        <v>#REF!</v>
      </c>
      <c r="AJ10" s="89" t="e">
        <f>#REF!</f>
        <v>#REF!</v>
      </c>
      <c r="AK10" s="167" t="e">
        <f>#REF!</f>
        <v>#REF!</v>
      </c>
      <c r="AL10" s="160" t="e">
        <f>#REF!</f>
        <v>#REF!</v>
      </c>
      <c r="AM10" s="160" t="e">
        <f>#REF!</f>
        <v>#REF!</v>
      </c>
      <c r="AN10" s="160" t="e">
        <f>#REF!</f>
        <v>#REF!</v>
      </c>
      <c r="AO10" s="160" t="e">
        <f>#REF!</f>
        <v>#REF!</v>
      </c>
      <c r="AP10" s="160" t="e">
        <f>#REF!</f>
        <v>#REF!</v>
      </c>
      <c r="AQ10" s="160" t="e">
        <f>#REF!</f>
        <v>#REF!</v>
      </c>
      <c r="AR10" s="160" t="e">
        <f>#REF!</f>
        <v>#REF!</v>
      </c>
      <c r="AS10" s="169" t="e">
        <f>#REF!</f>
        <v>#REF!</v>
      </c>
      <c r="AT10" s="26">
        <f t="shared" ref="AT10:AT19" si="8">P10-J10</f>
        <v>-955.55036572421614</v>
      </c>
      <c r="AU10" s="27"/>
      <c r="AW10" s="9"/>
      <c r="AX10" s="28"/>
      <c r="AY10" s="29"/>
      <c r="AZ10" s="15"/>
      <c r="BA10" s="9"/>
      <c r="BB10" s="15"/>
    </row>
    <row r="11" spans="1:54" ht="25.5" customHeight="1" x14ac:dyDescent="0.2">
      <c r="A11" s="30">
        <v>2</v>
      </c>
      <c r="B11" s="130" t="s">
        <v>16</v>
      </c>
      <c r="C11" s="18">
        <v>416</v>
      </c>
      <c r="D11" s="19">
        <f t="shared" ref="D11:D20" si="9">$D$9*C11</f>
        <v>670176</v>
      </c>
      <c r="E11" s="19">
        <v>29000</v>
      </c>
      <c r="F11" s="20">
        <f t="shared" si="0"/>
        <v>634981.18638573738</v>
      </c>
      <c r="G11" s="21">
        <f t="shared" ref="G11:G18" si="10">F11+E11</f>
        <v>663981.18638573738</v>
      </c>
      <c r="H11" s="19">
        <f t="shared" ref="H11:H18" si="11">G11</f>
        <v>663981.18638573738</v>
      </c>
      <c r="I11" s="115">
        <f t="shared" ref="I11:I18" si="12">F11-F11*1%</f>
        <v>628631.37452188006</v>
      </c>
      <c r="J11" s="128">
        <f t="shared" ref="J11:J18" si="13">F11*1%</f>
        <v>6349.8118638573742</v>
      </c>
      <c r="K11" s="128"/>
      <c r="L11" s="128">
        <f>C11*L8/1575</f>
        <v>3731.2426666666661</v>
      </c>
      <c r="M11" s="128"/>
      <c r="N11" s="128"/>
      <c r="O11" s="128">
        <f>C11*O8/2478</f>
        <v>1906.728244067797</v>
      </c>
      <c r="P11" s="128">
        <f t="shared" ref="P11:P18" si="14">SUM(K11:O11)</f>
        <v>5637.9709107344634</v>
      </c>
      <c r="Q11" s="128">
        <f t="shared" ref="Q11:Q19" si="15">SUM(I11,P11)</f>
        <v>634269.34543261456</v>
      </c>
      <c r="R11" s="18">
        <v>3</v>
      </c>
      <c r="S11" s="19">
        <f t="shared" si="1"/>
        <v>1119</v>
      </c>
      <c r="T11" s="22"/>
      <c r="U11" s="19">
        <f t="shared" si="2"/>
        <v>0</v>
      </c>
      <c r="V11" s="18">
        <f t="shared" si="3"/>
        <v>416</v>
      </c>
      <c r="W11" s="19">
        <f t="shared" si="4"/>
        <v>10400</v>
      </c>
      <c r="X11" s="19"/>
      <c r="Y11" s="19">
        <f t="shared" si="5"/>
        <v>0</v>
      </c>
      <c r="Z11" s="23">
        <v>213</v>
      </c>
      <c r="AA11" s="23">
        <f t="shared" si="6"/>
        <v>18531</v>
      </c>
      <c r="AB11" s="24"/>
      <c r="AC11" s="25"/>
      <c r="AD11" s="19"/>
      <c r="AE11" s="77">
        <f t="shared" si="7"/>
        <v>0</v>
      </c>
      <c r="AF11" s="159">
        <f>Q11+E11+S11+U11+W11+AA11+AC11+AE11+Y11</f>
        <v>693319.34543261456</v>
      </c>
      <c r="AG11" s="160">
        <v>0</v>
      </c>
      <c r="AH11" s="160">
        <f t="shared" ref="AH11:AH21" si="16">AG11*$AH$9</f>
        <v>0</v>
      </c>
      <c r="AI11" s="160" t="e">
        <f>#REF!</f>
        <v>#REF!</v>
      </c>
      <c r="AJ11" s="165" t="e">
        <f>#REF!</f>
        <v>#REF!</v>
      </c>
      <c r="AK11" s="167" t="e">
        <f>#REF!</f>
        <v>#REF!</v>
      </c>
      <c r="AL11" s="160" t="e">
        <f>#REF!</f>
        <v>#REF!</v>
      </c>
      <c r="AM11" s="160" t="e">
        <f>#REF!</f>
        <v>#REF!</v>
      </c>
      <c r="AN11" s="160" t="e">
        <f>#REF!</f>
        <v>#REF!</v>
      </c>
      <c r="AO11" s="160" t="e">
        <f>#REF!</f>
        <v>#REF!</v>
      </c>
      <c r="AP11" s="160" t="e">
        <f>#REF!</f>
        <v>#REF!</v>
      </c>
      <c r="AQ11" s="160" t="e">
        <f>#REF!</f>
        <v>#REF!</v>
      </c>
      <c r="AR11" s="160" t="e">
        <f>#REF!</f>
        <v>#REF!</v>
      </c>
      <c r="AS11" s="169" t="e">
        <f>#REF!</f>
        <v>#REF!</v>
      </c>
      <c r="AT11" s="26">
        <f t="shared" si="8"/>
        <v>-711.84095312291083</v>
      </c>
      <c r="AU11" s="27"/>
      <c r="AW11" s="9"/>
      <c r="AX11" s="28"/>
      <c r="AY11" s="29"/>
      <c r="AZ11" s="15"/>
      <c r="BA11" s="9"/>
      <c r="BB11" s="15"/>
    </row>
    <row r="12" spans="1:54" ht="29.25" customHeight="1" x14ac:dyDescent="0.2">
      <c r="A12" s="91">
        <v>3</v>
      </c>
      <c r="B12" s="129" t="s">
        <v>17</v>
      </c>
      <c r="C12" s="81">
        <v>559</v>
      </c>
      <c r="D12" s="82">
        <f t="shared" si="9"/>
        <v>900549</v>
      </c>
      <c r="E12" s="82">
        <v>29000</v>
      </c>
      <c r="F12" s="83">
        <f t="shared" si="0"/>
        <v>853255.96920583467</v>
      </c>
      <c r="G12" s="84">
        <f t="shared" si="10"/>
        <v>882255.96920583467</v>
      </c>
      <c r="H12" s="82">
        <f t="shared" si="11"/>
        <v>882255.96920583467</v>
      </c>
      <c r="I12" s="115">
        <f t="shared" si="12"/>
        <v>844723.40951377631</v>
      </c>
      <c r="J12" s="128">
        <f t="shared" si="13"/>
        <v>8532.5596920583466</v>
      </c>
      <c r="K12" s="128">
        <f>C12*K8/1510</f>
        <v>1743.2285430463573</v>
      </c>
      <c r="L12" s="128"/>
      <c r="M12" s="128"/>
      <c r="N12" s="128"/>
      <c r="O12" s="128">
        <f>C12*O8/2478</f>
        <v>2562.166077966102</v>
      </c>
      <c r="P12" s="128">
        <f t="shared" si="14"/>
        <v>4305.3946210124595</v>
      </c>
      <c r="Q12" s="128">
        <f t="shared" si="15"/>
        <v>849028.80413478881</v>
      </c>
      <c r="R12" s="81">
        <v>15</v>
      </c>
      <c r="S12" s="82">
        <f t="shared" si="1"/>
        <v>5595</v>
      </c>
      <c r="T12" s="82"/>
      <c r="U12" s="82">
        <f t="shared" si="2"/>
        <v>0</v>
      </c>
      <c r="V12" s="81">
        <f t="shared" si="3"/>
        <v>559</v>
      </c>
      <c r="W12" s="82">
        <f t="shared" si="4"/>
        <v>13975</v>
      </c>
      <c r="X12" s="82">
        <v>1</v>
      </c>
      <c r="Y12" s="82">
        <f t="shared" si="5"/>
        <v>862</v>
      </c>
      <c r="Z12" s="86">
        <v>97</v>
      </c>
      <c r="AA12" s="86">
        <f t="shared" si="6"/>
        <v>8439</v>
      </c>
      <c r="AB12" s="92">
        <v>283</v>
      </c>
      <c r="AC12" s="82">
        <f t="shared" ref="AC12:AC18" si="17">AB12*$AC$9</f>
        <v>20376</v>
      </c>
      <c r="AD12" s="82">
        <v>348</v>
      </c>
      <c r="AE12" s="89">
        <f t="shared" si="7"/>
        <v>201840</v>
      </c>
      <c r="AF12" s="159">
        <f t="shared" ref="AF12:AF20" si="18">Q12+E12+S12+U12+W12+AA12+AC12+AE12+Y12</f>
        <v>1129115.8041347889</v>
      </c>
      <c r="AG12" s="82">
        <v>36</v>
      </c>
      <c r="AH12" s="82">
        <f t="shared" si="16"/>
        <v>11736</v>
      </c>
      <c r="AI12" s="82" t="e">
        <f>#REF!</f>
        <v>#REF!</v>
      </c>
      <c r="AJ12" s="89" t="e">
        <f>#REF!</f>
        <v>#REF!</v>
      </c>
      <c r="AK12" s="167" t="e">
        <f>#REF!</f>
        <v>#REF!</v>
      </c>
      <c r="AL12" s="160" t="e">
        <f>#REF!</f>
        <v>#REF!</v>
      </c>
      <c r="AM12" s="160" t="e">
        <f>#REF!</f>
        <v>#REF!</v>
      </c>
      <c r="AN12" s="160" t="e">
        <f>#REF!</f>
        <v>#REF!</v>
      </c>
      <c r="AO12" s="160" t="e">
        <f>#REF!</f>
        <v>#REF!</v>
      </c>
      <c r="AP12" s="160" t="e">
        <f>#REF!</f>
        <v>#REF!</v>
      </c>
      <c r="AQ12" s="160" t="e">
        <f>#REF!</f>
        <v>#REF!</v>
      </c>
      <c r="AR12" s="160" t="e">
        <f>#REF!</f>
        <v>#REF!</v>
      </c>
      <c r="AS12" s="169" t="e">
        <f>#REF!</f>
        <v>#REF!</v>
      </c>
      <c r="AT12" s="26">
        <f t="shared" si="8"/>
        <v>-4227.1650710458871</v>
      </c>
      <c r="AU12" s="27"/>
      <c r="AW12" s="9"/>
      <c r="AX12" s="28"/>
      <c r="AY12" s="29"/>
      <c r="AZ12" s="15"/>
      <c r="BA12" s="9"/>
      <c r="BB12" s="15"/>
    </row>
    <row r="13" spans="1:54" ht="25.5" customHeight="1" x14ac:dyDescent="0.2">
      <c r="A13" s="16">
        <v>4</v>
      </c>
      <c r="B13" s="130" t="s">
        <v>18</v>
      </c>
      <c r="C13" s="18">
        <v>428</v>
      </c>
      <c r="D13" s="19">
        <f t="shared" si="9"/>
        <v>689508</v>
      </c>
      <c r="E13" s="19">
        <v>29000</v>
      </c>
      <c r="F13" s="20">
        <f t="shared" si="0"/>
        <v>653297.95137763373</v>
      </c>
      <c r="G13" s="21">
        <f t="shared" si="10"/>
        <v>682297.95137763373</v>
      </c>
      <c r="H13" s="19">
        <f t="shared" si="11"/>
        <v>682297.95137763373</v>
      </c>
      <c r="I13" s="115">
        <f t="shared" si="12"/>
        <v>646764.97186385735</v>
      </c>
      <c r="J13" s="128">
        <f t="shared" si="13"/>
        <v>6532.9795137763376</v>
      </c>
      <c r="K13" s="128"/>
      <c r="L13" s="128">
        <f>C13*L8/1575</f>
        <v>3838.8746666666666</v>
      </c>
      <c r="M13" s="128"/>
      <c r="N13" s="128"/>
      <c r="O13" s="128">
        <f>C13*O8/2478</f>
        <v>1961.7300203389832</v>
      </c>
      <c r="P13" s="128">
        <f t="shared" si="14"/>
        <v>5800.6046870056498</v>
      </c>
      <c r="Q13" s="128">
        <f t="shared" si="15"/>
        <v>652565.57655086298</v>
      </c>
      <c r="R13" s="18"/>
      <c r="S13" s="19">
        <f t="shared" si="1"/>
        <v>0</v>
      </c>
      <c r="T13" s="19">
        <v>1</v>
      </c>
      <c r="U13" s="19">
        <f t="shared" si="2"/>
        <v>3070</v>
      </c>
      <c r="V13" s="18">
        <f t="shared" si="3"/>
        <v>428</v>
      </c>
      <c r="W13" s="19">
        <f t="shared" si="4"/>
        <v>10700</v>
      </c>
      <c r="X13" s="19"/>
      <c r="Y13" s="19">
        <f t="shared" si="5"/>
        <v>0</v>
      </c>
      <c r="Z13" s="23"/>
      <c r="AA13" s="23">
        <f t="shared" si="6"/>
        <v>0</v>
      </c>
      <c r="AB13" s="31">
        <v>229</v>
      </c>
      <c r="AC13" s="19">
        <f t="shared" si="17"/>
        <v>16488</v>
      </c>
      <c r="AD13" s="19">
        <v>246</v>
      </c>
      <c r="AE13" s="77">
        <f t="shared" si="7"/>
        <v>142680</v>
      </c>
      <c r="AF13" s="159">
        <f t="shared" si="18"/>
        <v>854503.57655086298</v>
      </c>
      <c r="AG13" s="160">
        <v>15</v>
      </c>
      <c r="AH13" s="160">
        <f t="shared" si="16"/>
        <v>4890</v>
      </c>
      <c r="AI13" s="160" t="e">
        <f>#REF!</f>
        <v>#REF!</v>
      </c>
      <c r="AJ13" s="165" t="e">
        <f>#REF!</f>
        <v>#REF!</v>
      </c>
      <c r="AK13" s="167" t="e">
        <f>#REF!</f>
        <v>#REF!</v>
      </c>
      <c r="AL13" s="160" t="e">
        <f>#REF!</f>
        <v>#REF!</v>
      </c>
      <c r="AM13" s="160" t="e">
        <f>#REF!</f>
        <v>#REF!</v>
      </c>
      <c r="AN13" s="160" t="e">
        <f>#REF!</f>
        <v>#REF!</v>
      </c>
      <c r="AO13" s="160" t="e">
        <f>#REF!</f>
        <v>#REF!</v>
      </c>
      <c r="AP13" s="160" t="e">
        <f>#REF!</f>
        <v>#REF!</v>
      </c>
      <c r="AQ13" s="160" t="e">
        <f>#REF!</f>
        <v>#REF!</v>
      </c>
      <c r="AR13" s="160" t="e">
        <f>#REF!</f>
        <v>#REF!</v>
      </c>
      <c r="AS13" s="169" t="e">
        <f>#REF!</f>
        <v>#REF!</v>
      </c>
      <c r="AT13" s="26">
        <f t="shared" si="8"/>
        <v>-732.37482677068783</v>
      </c>
      <c r="AU13" s="27"/>
      <c r="AW13" s="15"/>
      <c r="AX13" s="15"/>
      <c r="AY13" s="29"/>
      <c r="AZ13" s="15"/>
      <c r="BA13" s="15"/>
      <c r="BB13" s="15"/>
    </row>
    <row r="14" spans="1:54" ht="33.950000000000003" customHeight="1" x14ac:dyDescent="0.2">
      <c r="A14" s="79">
        <v>5</v>
      </c>
      <c r="B14" s="131" t="s">
        <v>19</v>
      </c>
      <c r="C14" s="86">
        <v>444</v>
      </c>
      <c r="D14" s="82">
        <f t="shared" si="9"/>
        <v>715284</v>
      </c>
      <c r="E14" s="82">
        <v>29000</v>
      </c>
      <c r="F14" s="83">
        <f t="shared" si="0"/>
        <v>677720.30470016203</v>
      </c>
      <c r="G14" s="83">
        <f t="shared" si="10"/>
        <v>706720.30470016203</v>
      </c>
      <c r="H14" s="82">
        <f t="shared" si="11"/>
        <v>706720.30470016203</v>
      </c>
      <c r="I14" s="115">
        <f t="shared" si="12"/>
        <v>670943.10165316041</v>
      </c>
      <c r="J14" s="128">
        <f t="shared" si="13"/>
        <v>6777.2030470016207</v>
      </c>
      <c r="K14" s="128"/>
      <c r="L14" s="128">
        <f>C14*L8/1575</f>
        <v>3982.384</v>
      </c>
      <c r="M14" s="128"/>
      <c r="N14" s="128"/>
      <c r="O14" s="128">
        <f>C14*O8/2478</f>
        <v>2035.0657220338985</v>
      </c>
      <c r="P14" s="128">
        <f t="shared" si="14"/>
        <v>6017.4497220338981</v>
      </c>
      <c r="Q14" s="128">
        <f t="shared" si="15"/>
        <v>676960.55137519434</v>
      </c>
      <c r="R14" s="86"/>
      <c r="S14" s="87">
        <f t="shared" si="1"/>
        <v>0</v>
      </c>
      <c r="T14" s="87"/>
      <c r="U14" s="82">
        <f t="shared" si="2"/>
        <v>0</v>
      </c>
      <c r="V14" s="86">
        <f t="shared" si="3"/>
        <v>444</v>
      </c>
      <c r="W14" s="87">
        <f t="shared" si="4"/>
        <v>11100</v>
      </c>
      <c r="X14" s="87">
        <v>3</v>
      </c>
      <c r="Y14" s="82">
        <f t="shared" si="5"/>
        <v>2586</v>
      </c>
      <c r="Z14" s="94"/>
      <c r="AA14" s="86">
        <f t="shared" si="6"/>
        <v>0</v>
      </c>
      <c r="AB14" s="92">
        <v>258</v>
      </c>
      <c r="AC14" s="87">
        <f t="shared" si="17"/>
        <v>18576</v>
      </c>
      <c r="AD14" s="87">
        <v>335</v>
      </c>
      <c r="AE14" s="89">
        <f t="shared" si="7"/>
        <v>194300</v>
      </c>
      <c r="AF14" s="159">
        <f t="shared" si="18"/>
        <v>932522.55137519434</v>
      </c>
      <c r="AG14" s="82">
        <v>28</v>
      </c>
      <c r="AH14" s="82">
        <f t="shared" si="16"/>
        <v>9128</v>
      </c>
      <c r="AI14" s="82" t="e">
        <f>#REF!</f>
        <v>#REF!</v>
      </c>
      <c r="AJ14" s="89" t="e">
        <f>#REF!</f>
        <v>#REF!</v>
      </c>
      <c r="AK14" s="167" t="e">
        <f>#REF!</f>
        <v>#REF!</v>
      </c>
      <c r="AL14" s="160" t="e">
        <f>#REF!</f>
        <v>#REF!</v>
      </c>
      <c r="AM14" s="160" t="e">
        <f>#REF!</f>
        <v>#REF!</v>
      </c>
      <c r="AN14" s="160" t="e">
        <f>#REF!</f>
        <v>#REF!</v>
      </c>
      <c r="AO14" s="160" t="e">
        <f>#REF!</f>
        <v>#REF!</v>
      </c>
      <c r="AP14" s="160" t="e">
        <f>#REF!</f>
        <v>#REF!</v>
      </c>
      <c r="AQ14" s="160" t="e">
        <f>#REF!</f>
        <v>#REF!</v>
      </c>
      <c r="AR14" s="160" t="e">
        <f>#REF!</f>
        <v>#REF!</v>
      </c>
      <c r="AS14" s="169" t="e">
        <f>#REF!</f>
        <v>#REF!</v>
      </c>
      <c r="AT14" s="26">
        <f t="shared" si="8"/>
        <v>-759.75332496772262</v>
      </c>
      <c r="AU14" s="27"/>
      <c r="AW14" s="9"/>
      <c r="AX14" s="9"/>
      <c r="AY14" s="9"/>
      <c r="AZ14" s="15"/>
      <c r="BA14" s="9"/>
      <c r="BB14" s="9"/>
    </row>
    <row r="15" spans="1:54" ht="25.5" customHeight="1" x14ac:dyDescent="0.2">
      <c r="A15" s="30">
        <v>6</v>
      </c>
      <c r="B15" s="130" t="s">
        <v>20</v>
      </c>
      <c r="C15" s="18">
        <v>631</v>
      </c>
      <c r="D15" s="19">
        <f t="shared" si="9"/>
        <v>1016541</v>
      </c>
      <c r="E15" s="19">
        <v>29000</v>
      </c>
      <c r="F15" s="20">
        <f t="shared" si="0"/>
        <v>963156.55915721226</v>
      </c>
      <c r="G15" s="21">
        <f t="shared" si="10"/>
        <v>992156.55915721226</v>
      </c>
      <c r="H15" s="19">
        <f t="shared" si="11"/>
        <v>992156.55915721226</v>
      </c>
      <c r="I15" s="115">
        <f t="shared" si="12"/>
        <v>953524.99356564018</v>
      </c>
      <c r="J15" s="128">
        <f t="shared" si="13"/>
        <v>9631.5655915721236</v>
      </c>
      <c r="K15" s="128">
        <f>C15*K8/1510</f>
        <v>1967.7588741721854</v>
      </c>
      <c r="L15" s="128"/>
      <c r="M15" s="128"/>
      <c r="N15" s="128"/>
      <c r="O15" s="128">
        <f>C15*O8/2478</f>
        <v>2892.1767355932207</v>
      </c>
      <c r="P15" s="128">
        <f t="shared" si="14"/>
        <v>4859.9356097654063</v>
      </c>
      <c r="Q15" s="128">
        <f t="shared" si="15"/>
        <v>958384.92917540553</v>
      </c>
      <c r="R15" s="18"/>
      <c r="S15" s="19">
        <f t="shared" si="1"/>
        <v>0</v>
      </c>
      <c r="T15" s="19"/>
      <c r="U15" s="19">
        <f t="shared" si="2"/>
        <v>0</v>
      </c>
      <c r="V15" s="18">
        <f t="shared" si="3"/>
        <v>631</v>
      </c>
      <c r="W15" s="19">
        <f t="shared" si="4"/>
        <v>15775</v>
      </c>
      <c r="X15" s="19"/>
      <c r="Y15" s="19">
        <f t="shared" si="5"/>
        <v>0</v>
      </c>
      <c r="Z15" s="32"/>
      <c r="AA15" s="23">
        <f t="shared" si="6"/>
        <v>0</v>
      </c>
      <c r="AB15" s="31">
        <v>414</v>
      </c>
      <c r="AC15" s="19">
        <f t="shared" si="17"/>
        <v>29808</v>
      </c>
      <c r="AD15" s="19">
        <v>505</v>
      </c>
      <c r="AE15" s="77">
        <f t="shared" si="7"/>
        <v>292900</v>
      </c>
      <c r="AF15" s="159">
        <f t="shared" si="18"/>
        <v>1325867.9291754055</v>
      </c>
      <c r="AG15" s="160">
        <v>25</v>
      </c>
      <c r="AH15" s="160">
        <f t="shared" si="16"/>
        <v>8150</v>
      </c>
      <c r="AI15" s="160" t="e">
        <f>#REF!</f>
        <v>#REF!</v>
      </c>
      <c r="AJ15" s="165" t="e">
        <f>#REF!</f>
        <v>#REF!</v>
      </c>
      <c r="AK15" s="167" t="e">
        <f>#REF!</f>
        <v>#REF!</v>
      </c>
      <c r="AL15" s="160" t="e">
        <f>#REF!</f>
        <v>#REF!</v>
      </c>
      <c r="AM15" s="160" t="e">
        <f>#REF!</f>
        <v>#REF!</v>
      </c>
      <c r="AN15" s="160" t="e">
        <f>#REF!</f>
        <v>#REF!</v>
      </c>
      <c r="AO15" s="160" t="e">
        <f>#REF!</f>
        <v>#REF!</v>
      </c>
      <c r="AP15" s="160" t="e">
        <f>#REF!</f>
        <v>#REF!</v>
      </c>
      <c r="AQ15" s="160" t="e">
        <f>#REF!</f>
        <v>#REF!</v>
      </c>
      <c r="AR15" s="160" t="e">
        <f>#REF!</f>
        <v>#REF!</v>
      </c>
      <c r="AS15" s="169" t="e">
        <f>#REF!</f>
        <v>#REF!</v>
      </c>
      <c r="AT15" s="26">
        <f t="shared" si="8"/>
        <v>-4771.6299818067173</v>
      </c>
      <c r="AU15" s="27"/>
      <c r="AW15" s="9"/>
      <c r="AX15" s="9"/>
      <c r="AY15" s="9"/>
      <c r="AZ15" s="15"/>
      <c r="BA15" s="9"/>
      <c r="BB15" s="9"/>
    </row>
    <row r="16" spans="1:54" ht="34.5" customHeight="1" x14ac:dyDescent="0.2">
      <c r="A16" s="79">
        <v>7</v>
      </c>
      <c r="B16" s="129" t="s">
        <v>21</v>
      </c>
      <c r="C16" s="81">
        <v>92</v>
      </c>
      <c r="D16" s="82">
        <f t="shared" si="9"/>
        <v>148212</v>
      </c>
      <c r="E16" s="82">
        <v>29000</v>
      </c>
      <c r="F16" s="83">
        <f t="shared" si="0"/>
        <v>140428.53160453809</v>
      </c>
      <c r="G16" s="84">
        <f t="shared" si="10"/>
        <v>169428.53160453809</v>
      </c>
      <c r="H16" s="82">
        <f t="shared" si="11"/>
        <v>169428.53160453809</v>
      </c>
      <c r="I16" s="115">
        <f t="shared" si="12"/>
        <v>139024.24628849272</v>
      </c>
      <c r="J16" s="128">
        <f t="shared" si="13"/>
        <v>1404.285316045381</v>
      </c>
      <c r="K16" s="128"/>
      <c r="L16" s="128">
        <f>C16*L8/1575</f>
        <v>825.17866666666657</v>
      </c>
      <c r="M16" s="128">
        <f>C16*M8/287</f>
        <v>4477.1578033170736</v>
      </c>
      <c r="N16" s="128"/>
      <c r="O16" s="128"/>
      <c r="P16" s="128">
        <f t="shared" si="14"/>
        <v>5302.3364699837402</v>
      </c>
      <c r="Q16" s="128">
        <f t="shared" si="15"/>
        <v>144326.58275847646</v>
      </c>
      <c r="R16" s="81">
        <v>26</v>
      </c>
      <c r="S16" s="82">
        <f t="shared" si="1"/>
        <v>9698</v>
      </c>
      <c r="T16" s="85"/>
      <c r="U16" s="82">
        <f t="shared" si="2"/>
        <v>0</v>
      </c>
      <c r="V16" s="81">
        <f t="shared" si="3"/>
        <v>92</v>
      </c>
      <c r="W16" s="82">
        <f t="shared" si="4"/>
        <v>2300</v>
      </c>
      <c r="X16" s="82"/>
      <c r="Y16" s="82">
        <f t="shared" si="5"/>
        <v>0</v>
      </c>
      <c r="Z16" s="94"/>
      <c r="AA16" s="86">
        <f t="shared" si="6"/>
        <v>0</v>
      </c>
      <c r="AB16" s="95">
        <v>48</v>
      </c>
      <c r="AC16" s="82">
        <f t="shared" si="17"/>
        <v>3456</v>
      </c>
      <c r="AD16" s="82">
        <v>52</v>
      </c>
      <c r="AE16" s="89">
        <f t="shared" si="7"/>
        <v>30160</v>
      </c>
      <c r="AF16" s="159">
        <f t="shared" si="18"/>
        <v>218940.58275847646</v>
      </c>
      <c r="AG16" s="82">
        <v>10</v>
      </c>
      <c r="AH16" s="82">
        <f t="shared" si="16"/>
        <v>3260</v>
      </c>
      <c r="AI16" s="82" t="e">
        <f>#REF!</f>
        <v>#REF!</v>
      </c>
      <c r="AJ16" s="89" t="e">
        <f>#REF!</f>
        <v>#REF!</v>
      </c>
      <c r="AK16" s="167" t="e">
        <f>#REF!</f>
        <v>#REF!</v>
      </c>
      <c r="AL16" s="160" t="e">
        <f>#REF!</f>
        <v>#REF!</v>
      </c>
      <c r="AM16" s="160" t="e">
        <f>#REF!</f>
        <v>#REF!</v>
      </c>
      <c r="AN16" s="160" t="e">
        <f>#REF!</f>
        <v>#REF!</v>
      </c>
      <c r="AO16" s="160" t="e">
        <f>#REF!</f>
        <v>#REF!</v>
      </c>
      <c r="AP16" s="160" t="e">
        <f>#REF!</f>
        <v>#REF!</v>
      </c>
      <c r="AQ16" s="160" t="e">
        <f>#REF!</f>
        <v>#REF!</v>
      </c>
      <c r="AR16" s="160" t="e">
        <f>#REF!</f>
        <v>#REF!</v>
      </c>
      <c r="AS16" s="169" t="e">
        <f>#REF!</f>
        <v>#REF!</v>
      </c>
      <c r="AT16" s="26">
        <f t="shared" si="8"/>
        <v>3898.0511539383592</v>
      </c>
      <c r="AU16" s="27"/>
    </row>
    <row r="17" spans="1:47" ht="27" customHeight="1" x14ac:dyDescent="0.2">
      <c r="A17" s="16">
        <v>8</v>
      </c>
      <c r="B17" s="130" t="s">
        <v>22</v>
      </c>
      <c r="C17" s="18">
        <v>146</v>
      </c>
      <c r="D17" s="19">
        <f t="shared" si="9"/>
        <v>235206</v>
      </c>
      <c r="E17" s="19">
        <v>29000</v>
      </c>
      <c r="F17" s="20">
        <f t="shared" si="0"/>
        <v>222853.97406807131</v>
      </c>
      <c r="G17" s="21">
        <f t="shared" si="10"/>
        <v>251853.97406807131</v>
      </c>
      <c r="H17" s="19">
        <f t="shared" si="11"/>
        <v>251853.97406807131</v>
      </c>
      <c r="I17" s="115">
        <f t="shared" si="12"/>
        <v>220625.4343273906</v>
      </c>
      <c r="J17" s="128">
        <f t="shared" si="13"/>
        <v>2228.5397406807133</v>
      </c>
      <c r="K17" s="128"/>
      <c r="L17" s="128">
        <f>C17*L8/1575</f>
        <v>1309.5226666666667</v>
      </c>
      <c r="M17" s="128">
        <f>C17*M8/287</f>
        <v>7105.0547748292693</v>
      </c>
      <c r="N17" s="128"/>
      <c r="O17" s="128"/>
      <c r="P17" s="128">
        <f t="shared" si="14"/>
        <v>8414.577441495936</v>
      </c>
      <c r="Q17" s="128">
        <f t="shared" si="15"/>
        <v>229040.01176888653</v>
      </c>
      <c r="R17" s="18">
        <v>15</v>
      </c>
      <c r="S17" s="19">
        <f t="shared" si="1"/>
        <v>5595</v>
      </c>
      <c r="T17" s="22"/>
      <c r="U17" s="19">
        <f t="shared" si="2"/>
        <v>0</v>
      </c>
      <c r="V17" s="18">
        <f t="shared" si="3"/>
        <v>146</v>
      </c>
      <c r="W17" s="19">
        <f t="shared" si="4"/>
        <v>3650</v>
      </c>
      <c r="X17" s="19"/>
      <c r="Y17" s="19">
        <f t="shared" si="5"/>
        <v>0</v>
      </c>
      <c r="Z17" s="23"/>
      <c r="AA17" s="23">
        <f t="shared" si="6"/>
        <v>0</v>
      </c>
      <c r="AB17" s="31">
        <v>66</v>
      </c>
      <c r="AC17" s="19">
        <f t="shared" si="17"/>
        <v>4752</v>
      </c>
      <c r="AD17" s="19">
        <v>146</v>
      </c>
      <c r="AE17" s="77">
        <f t="shared" si="7"/>
        <v>84680</v>
      </c>
      <c r="AF17" s="159">
        <f t="shared" si="18"/>
        <v>356717.01176888653</v>
      </c>
      <c r="AG17" s="160">
        <v>0</v>
      </c>
      <c r="AH17" s="160">
        <f t="shared" si="16"/>
        <v>0</v>
      </c>
      <c r="AI17" s="160" t="e">
        <f>#REF!</f>
        <v>#REF!</v>
      </c>
      <c r="AJ17" s="165" t="e">
        <f>#REF!</f>
        <v>#REF!</v>
      </c>
      <c r="AK17" s="167" t="e">
        <f>#REF!</f>
        <v>#REF!</v>
      </c>
      <c r="AL17" s="160" t="e">
        <f>#REF!</f>
        <v>#REF!</v>
      </c>
      <c r="AM17" s="160" t="e">
        <f>#REF!</f>
        <v>#REF!</v>
      </c>
      <c r="AN17" s="160" t="e">
        <f>#REF!</f>
        <v>#REF!</v>
      </c>
      <c r="AO17" s="160" t="e">
        <f>#REF!</f>
        <v>#REF!</v>
      </c>
      <c r="AP17" s="160" t="e">
        <f>#REF!</f>
        <v>#REF!</v>
      </c>
      <c r="AQ17" s="160" t="e">
        <f>#REF!</f>
        <v>#REF!</v>
      </c>
      <c r="AR17" s="160" t="e">
        <f>#REF!</f>
        <v>#REF!</v>
      </c>
      <c r="AS17" s="169" t="e">
        <f>#REF!</f>
        <v>#REF!</v>
      </c>
      <c r="AT17" s="26">
        <f t="shared" si="8"/>
        <v>6186.0377008152227</v>
      </c>
      <c r="AU17" s="27"/>
    </row>
    <row r="18" spans="1:47" ht="25.5" customHeight="1" x14ac:dyDescent="0.2">
      <c r="A18" s="91">
        <v>9</v>
      </c>
      <c r="B18" s="129" t="s">
        <v>23</v>
      </c>
      <c r="C18" s="81">
        <v>49</v>
      </c>
      <c r="D18" s="82">
        <f t="shared" si="9"/>
        <v>78939</v>
      </c>
      <c r="E18" s="82">
        <v>29000</v>
      </c>
      <c r="F18" s="83">
        <f t="shared" si="0"/>
        <v>74793.457050243116</v>
      </c>
      <c r="G18" s="84">
        <f t="shared" si="10"/>
        <v>103793.45705024312</v>
      </c>
      <c r="H18" s="82">
        <f t="shared" si="11"/>
        <v>103793.45705024312</v>
      </c>
      <c r="I18" s="115">
        <f t="shared" si="12"/>
        <v>74045.522479740685</v>
      </c>
      <c r="J18" s="128">
        <f t="shared" si="13"/>
        <v>747.93457050243114</v>
      </c>
      <c r="K18" s="128"/>
      <c r="L18" s="128">
        <f>C18*L8/1575</f>
        <v>439.4973333333333</v>
      </c>
      <c r="M18" s="128">
        <f>C18*M8/287</f>
        <v>2384.5731778536588</v>
      </c>
      <c r="N18" s="128"/>
      <c r="O18" s="128"/>
      <c r="P18" s="128">
        <f t="shared" si="14"/>
        <v>2824.070511186992</v>
      </c>
      <c r="Q18" s="128">
        <f t="shared" si="15"/>
        <v>76869.592990927675</v>
      </c>
      <c r="R18" s="81">
        <v>11</v>
      </c>
      <c r="S18" s="82">
        <f t="shared" si="1"/>
        <v>4103</v>
      </c>
      <c r="T18" s="85"/>
      <c r="U18" s="82">
        <f t="shared" si="2"/>
        <v>0</v>
      </c>
      <c r="V18" s="81">
        <f t="shared" si="3"/>
        <v>49</v>
      </c>
      <c r="W18" s="82">
        <f t="shared" si="4"/>
        <v>1225</v>
      </c>
      <c r="X18" s="82"/>
      <c r="Y18" s="82">
        <f t="shared" si="5"/>
        <v>0</v>
      </c>
      <c r="Z18" s="86"/>
      <c r="AA18" s="86">
        <f t="shared" si="6"/>
        <v>0</v>
      </c>
      <c r="AB18" s="92">
        <v>25</v>
      </c>
      <c r="AC18" s="82">
        <f t="shared" si="17"/>
        <v>1800</v>
      </c>
      <c r="AD18" s="82">
        <v>43</v>
      </c>
      <c r="AE18" s="89">
        <f t="shared" si="7"/>
        <v>24940</v>
      </c>
      <c r="AF18" s="159">
        <f t="shared" si="18"/>
        <v>137937.59299092769</v>
      </c>
      <c r="AG18" s="82">
        <v>9</v>
      </c>
      <c r="AH18" s="82">
        <f t="shared" si="16"/>
        <v>2934</v>
      </c>
      <c r="AI18" s="82" t="e">
        <f>#REF!</f>
        <v>#REF!</v>
      </c>
      <c r="AJ18" s="89" t="e">
        <f>#REF!</f>
        <v>#REF!</v>
      </c>
      <c r="AK18" s="167" t="e">
        <f>#REF!</f>
        <v>#REF!</v>
      </c>
      <c r="AL18" s="160" t="e">
        <f>#REF!</f>
        <v>#REF!</v>
      </c>
      <c r="AM18" s="160" t="e">
        <f>#REF!</f>
        <v>#REF!</v>
      </c>
      <c r="AN18" s="160" t="e">
        <f>#REF!</f>
        <v>#REF!</v>
      </c>
      <c r="AO18" s="160" t="e">
        <f>#REF!</f>
        <v>#REF!</v>
      </c>
      <c r="AP18" s="160" t="e">
        <f>#REF!</f>
        <v>#REF!</v>
      </c>
      <c r="AQ18" s="160" t="e">
        <f>#REF!</f>
        <v>#REF!</v>
      </c>
      <c r="AR18" s="160" t="e">
        <f>#REF!</f>
        <v>#REF!</v>
      </c>
      <c r="AS18" s="169" t="e">
        <f>#REF!</f>
        <v>#REF!</v>
      </c>
      <c r="AT18" s="26">
        <f t="shared" si="8"/>
        <v>2076.1359406845609</v>
      </c>
      <c r="AU18" s="27"/>
    </row>
    <row r="19" spans="1:47" ht="18" customHeight="1" x14ac:dyDescent="0.2">
      <c r="A19" s="272" t="s">
        <v>24</v>
      </c>
      <c r="B19" s="273"/>
      <c r="C19" s="96">
        <f t="shared" ref="C19:H19" si="19">SUM(C10:C18)</f>
        <v>3085</v>
      </c>
      <c r="D19" s="97">
        <f t="shared" si="19"/>
        <v>4969935</v>
      </c>
      <c r="E19" s="97">
        <f>SUM(E10:E18)</f>
        <v>261000</v>
      </c>
      <c r="F19" s="98">
        <f t="shared" si="19"/>
        <v>4708935</v>
      </c>
      <c r="G19" s="99">
        <f t="shared" si="19"/>
        <v>4969935</v>
      </c>
      <c r="H19" s="97">
        <f t="shared" si="19"/>
        <v>4969935</v>
      </c>
      <c r="I19" s="97">
        <f t="shared" ref="I19:P19" si="20">SUM(I10:I18)</f>
        <v>4661845.6500000004</v>
      </c>
      <c r="J19" s="97">
        <f t="shared" si="20"/>
        <v>47089.349999999991</v>
      </c>
      <c r="K19" s="97">
        <f>SUM(K10:K18)</f>
        <v>4708.8999999999996</v>
      </c>
      <c r="L19" s="97">
        <f>SUM(L10:L18)</f>
        <v>14126.7</v>
      </c>
      <c r="M19" s="97">
        <f>SUM(M10:M18)</f>
        <v>13966.785756000003</v>
      </c>
      <c r="N19" s="97">
        <f t="shared" si="20"/>
        <v>2931.0077160000001</v>
      </c>
      <c r="O19" s="97">
        <f>SUM(O10:O18)</f>
        <v>11357.866800000002</v>
      </c>
      <c r="P19" s="97">
        <f t="shared" si="20"/>
        <v>47091.260272000007</v>
      </c>
      <c r="Q19" s="97">
        <f t="shared" si="15"/>
        <v>4708936.9102720004</v>
      </c>
      <c r="R19" s="96">
        <f>SUM(R10:R18)</f>
        <v>73</v>
      </c>
      <c r="S19" s="97">
        <f t="shared" ref="S19:AE19" si="21">SUM(S10:S18)</f>
        <v>27229</v>
      </c>
      <c r="T19" s="96">
        <f t="shared" si="21"/>
        <v>2</v>
      </c>
      <c r="U19" s="96">
        <f t="shared" si="21"/>
        <v>6140</v>
      </c>
      <c r="V19" s="97">
        <f t="shared" si="21"/>
        <v>3085</v>
      </c>
      <c r="W19" s="97">
        <f>SUM(W10:W18)</f>
        <v>77125</v>
      </c>
      <c r="X19" s="97">
        <f>SUM(X10:X18)</f>
        <v>4</v>
      </c>
      <c r="Y19" s="97">
        <f>SUM(Y10:Y18)</f>
        <v>3448</v>
      </c>
      <c r="Z19" s="100">
        <f>SUM(Z10:Z18)</f>
        <v>525</v>
      </c>
      <c r="AA19" s="100">
        <f t="shared" si="21"/>
        <v>45675</v>
      </c>
      <c r="AB19" s="100">
        <f t="shared" si="21"/>
        <v>1323</v>
      </c>
      <c r="AC19" s="97">
        <f t="shared" si="21"/>
        <v>95256</v>
      </c>
      <c r="AD19" s="97">
        <f t="shared" si="21"/>
        <v>1675</v>
      </c>
      <c r="AE19" s="101">
        <f t="shared" si="21"/>
        <v>971500</v>
      </c>
      <c r="AF19" s="159">
        <f>Q19+E19+S19+U19+W19+AA19+AC19+AE19+Y19</f>
        <v>6196309.9102720004</v>
      </c>
      <c r="AG19" s="96">
        <f>SUM(AG10:AG18)</f>
        <v>124</v>
      </c>
      <c r="AH19" s="161">
        <f>AG19*$AH$9</f>
        <v>40424</v>
      </c>
      <c r="AI19" s="161" t="e">
        <f>#REF!</f>
        <v>#REF!</v>
      </c>
      <c r="AJ19" s="166" t="e">
        <f>#REF!</f>
        <v>#REF!</v>
      </c>
      <c r="AK19" s="168" t="e">
        <f>#REF!</f>
        <v>#REF!</v>
      </c>
      <c r="AL19" s="176" t="e">
        <f>#REF!</f>
        <v>#REF!</v>
      </c>
      <c r="AM19" s="176" t="e">
        <f>#REF!</f>
        <v>#REF!</v>
      </c>
      <c r="AN19" s="176" t="e">
        <f>#REF!</f>
        <v>#REF!</v>
      </c>
      <c r="AO19" s="176" t="e">
        <f>#REF!</f>
        <v>#REF!</v>
      </c>
      <c r="AP19" s="176" t="e">
        <f>#REF!</f>
        <v>#REF!</v>
      </c>
      <c r="AQ19" s="176" t="e">
        <f>#REF!</f>
        <v>#REF!</v>
      </c>
      <c r="AR19" s="176" t="e">
        <f>#REF!</f>
        <v>#REF!</v>
      </c>
      <c r="AS19" s="170" t="e">
        <f>#REF!</f>
        <v>#REF!</v>
      </c>
      <c r="AT19" s="26">
        <f t="shared" si="8"/>
        <v>1.9102720000155387</v>
      </c>
      <c r="AU19" s="27"/>
    </row>
    <row r="20" spans="1:47" ht="16.5" customHeight="1" x14ac:dyDescent="0.2">
      <c r="A20" s="33">
        <v>10</v>
      </c>
      <c r="B20" s="34" t="s">
        <v>25</v>
      </c>
      <c r="C20" s="35">
        <v>71</v>
      </c>
      <c r="D20" s="19">
        <f t="shared" si="9"/>
        <v>114381</v>
      </c>
      <c r="E20" s="35"/>
      <c r="F20" s="149"/>
      <c r="G20" s="35"/>
      <c r="H20" s="35">
        <f>C20*D9</f>
        <v>114381</v>
      </c>
      <c r="I20" s="97"/>
      <c r="J20" s="97"/>
      <c r="K20" s="97"/>
      <c r="L20" s="97"/>
      <c r="M20" s="97"/>
      <c r="N20" s="97"/>
      <c r="O20" s="97"/>
      <c r="P20" s="97"/>
      <c r="Q20" s="97"/>
      <c r="R20" s="35">
        <v>25</v>
      </c>
      <c r="S20" s="19">
        <f>R20*$S$9</f>
        <v>9325</v>
      </c>
      <c r="T20" s="35">
        <v>-1</v>
      </c>
      <c r="U20" s="19">
        <f>T20*$U$9</f>
        <v>-3070</v>
      </c>
      <c r="V20" s="35">
        <v>71</v>
      </c>
      <c r="W20" s="19">
        <f>V20*$W$9</f>
        <v>1775</v>
      </c>
      <c r="X20" s="35">
        <v>1</v>
      </c>
      <c r="Y20" s="19">
        <f>X20*$Y$9</f>
        <v>862</v>
      </c>
      <c r="Z20" s="35">
        <v>-61</v>
      </c>
      <c r="AA20" s="23">
        <f>Z20*$AA$9</f>
        <v>-5307</v>
      </c>
      <c r="AB20" s="35">
        <v>-2</v>
      </c>
      <c r="AC20" s="19">
        <f>AB20*$AC$9</f>
        <v>-144</v>
      </c>
      <c r="AD20" s="35">
        <v>16</v>
      </c>
      <c r="AE20" s="77">
        <f>AD20*$AE$9</f>
        <v>9280</v>
      </c>
      <c r="AF20" s="159">
        <f t="shared" si="18"/>
        <v>12721</v>
      </c>
      <c r="AG20" s="35">
        <v>3</v>
      </c>
      <c r="AH20" s="160">
        <f t="shared" si="16"/>
        <v>978</v>
      </c>
      <c r="AI20" s="160" t="e">
        <f>#REF!</f>
        <v>#REF!</v>
      </c>
      <c r="AJ20" s="165" t="e">
        <f>#REF!</f>
        <v>#REF!</v>
      </c>
      <c r="AK20" s="172" t="e">
        <f>#REF!</f>
        <v>#REF!</v>
      </c>
      <c r="AL20" s="19" t="e">
        <f>#REF!</f>
        <v>#REF!</v>
      </c>
      <c r="AM20" s="19" t="e">
        <f>#REF!</f>
        <v>#REF!</v>
      </c>
      <c r="AN20" s="19" t="e">
        <f>#REF!</f>
        <v>#REF!</v>
      </c>
      <c r="AO20" s="19" t="e">
        <f>#REF!</f>
        <v>#REF!</v>
      </c>
      <c r="AP20" s="19" t="e">
        <f>#REF!</f>
        <v>#REF!</v>
      </c>
      <c r="AQ20" s="19" t="e">
        <f>#REF!</f>
        <v>#REF!</v>
      </c>
      <c r="AR20" s="19" t="e">
        <f>#REF!</f>
        <v>#REF!</v>
      </c>
      <c r="AS20" s="163" t="e">
        <f>#REF!</f>
        <v>#REF!</v>
      </c>
      <c r="AT20" s="26"/>
      <c r="AU20" s="36"/>
    </row>
    <row r="21" spans="1:47" ht="20.25" customHeight="1" thickBot="1" x14ac:dyDescent="0.25">
      <c r="A21" s="37"/>
      <c r="B21" s="38" t="s">
        <v>26</v>
      </c>
      <c r="C21" s="39">
        <f>C19+C20</f>
        <v>3156</v>
      </c>
      <c r="D21" s="39">
        <f>D19+D20</f>
        <v>5084316</v>
      </c>
      <c r="E21" s="40"/>
      <c r="F21" s="150">
        <v>4708935</v>
      </c>
      <c r="G21" s="41">
        <f t="shared" ref="G21:AE21" si="22">G19+G20</f>
        <v>4969935</v>
      </c>
      <c r="H21" s="40">
        <f t="shared" si="22"/>
        <v>5084316</v>
      </c>
      <c r="I21" s="97">
        <v>4661846</v>
      </c>
      <c r="J21" s="97">
        <v>47089</v>
      </c>
      <c r="K21" s="97"/>
      <c r="L21" s="97"/>
      <c r="M21" s="97"/>
      <c r="N21" s="97"/>
      <c r="O21" s="97"/>
      <c r="P21" s="97">
        <v>47090</v>
      </c>
      <c r="Q21" s="97">
        <f>SUM(I21,P21)</f>
        <v>4708936</v>
      </c>
      <c r="R21" s="40">
        <f t="shared" si="22"/>
        <v>98</v>
      </c>
      <c r="S21" s="40">
        <f t="shared" si="22"/>
        <v>36554</v>
      </c>
      <c r="T21" s="40">
        <f t="shared" si="22"/>
        <v>1</v>
      </c>
      <c r="U21" s="40">
        <f t="shared" si="22"/>
        <v>3070</v>
      </c>
      <c r="V21" s="40">
        <f t="shared" si="22"/>
        <v>3156</v>
      </c>
      <c r="W21" s="40">
        <f t="shared" si="22"/>
        <v>78900</v>
      </c>
      <c r="X21" s="40">
        <f t="shared" si="22"/>
        <v>5</v>
      </c>
      <c r="Y21" s="40">
        <f t="shared" si="22"/>
        <v>4310</v>
      </c>
      <c r="Z21" s="40">
        <f t="shared" si="22"/>
        <v>464</v>
      </c>
      <c r="AA21" s="40">
        <f t="shared" si="22"/>
        <v>40368</v>
      </c>
      <c r="AB21" s="40">
        <f t="shared" si="22"/>
        <v>1321</v>
      </c>
      <c r="AC21" s="40">
        <f t="shared" si="22"/>
        <v>95112</v>
      </c>
      <c r="AD21" s="40">
        <f t="shared" si="22"/>
        <v>1691</v>
      </c>
      <c r="AE21" s="42">
        <f t="shared" si="22"/>
        <v>980780</v>
      </c>
      <c r="AF21" s="159">
        <f>H21+S21+U21+W21+AA21+AC21+AE21+Y21</f>
        <v>6323410</v>
      </c>
      <c r="AG21" s="40">
        <v>127</v>
      </c>
      <c r="AH21" s="160">
        <f t="shared" si="16"/>
        <v>41402</v>
      </c>
      <c r="AI21" s="160" t="e">
        <f>#REF!</f>
        <v>#REF!</v>
      </c>
      <c r="AJ21" s="165" t="e">
        <f>#REF!</f>
        <v>#REF!</v>
      </c>
      <c r="AK21" s="175" t="e">
        <f>#REF!</f>
        <v>#REF!</v>
      </c>
      <c r="AL21" s="19" t="e">
        <f>#REF!</f>
        <v>#REF!</v>
      </c>
      <c r="AM21" s="19" t="e">
        <f>#REF!</f>
        <v>#REF!</v>
      </c>
      <c r="AN21" s="19" t="e">
        <f>#REF!</f>
        <v>#REF!</v>
      </c>
      <c r="AO21" s="19" t="e">
        <f>#REF!</f>
        <v>#REF!</v>
      </c>
      <c r="AP21" s="19" t="e">
        <f>#REF!</f>
        <v>#REF!</v>
      </c>
      <c r="AQ21" s="19" t="e">
        <f>#REF!</f>
        <v>#REF!</v>
      </c>
      <c r="AR21" s="19" t="e">
        <f>#REF!</f>
        <v>#REF!</v>
      </c>
      <c r="AS21" s="163" t="e">
        <f>#REF!</f>
        <v>#REF!</v>
      </c>
      <c r="AT21" s="26"/>
      <c r="AU21" s="36"/>
    </row>
    <row r="22" spans="1:47" ht="12.75" customHeight="1" x14ac:dyDescent="0.2">
      <c r="A22" s="43"/>
      <c r="B22" s="43"/>
      <c r="C22" s="44"/>
      <c r="D22" s="44"/>
      <c r="E22" s="44"/>
      <c r="F22" s="45">
        <f>D19-E19</f>
        <v>4708935</v>
      </c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46"/>
      <c r="S22" s="46"/>
      <c r="T22" s="46"/>
      <c r="U22" s="46"/>
      <c r="V22" s="46"/>
      <c r="W22" s="46"/>
      <c r="X22" s="46"/>
      <c r="Y22" s="46"/>
      <c r="Z22" s="44"/>
      <c r="AA22" s="44"/>
      <c r="AB22" s="26"/>
      <c r="AC22" s="46"/>
      <c r="AD22" s="46"/>
      <c r="AE22" s="46"/>
      <c r="AF22" s="123">
        <f>SUM(AF10:AF18)</f>
        <v>6196309.9102720004</v>
      </c>
      <c r="AG22" s="123"/>
      <c r="AH22" s="123"/>
      <c r="AI22" s="123"/>
      <c r="AJ22" s="123"/>
      <c r="AK22" s="123"/>
      <c r="AL22" s="123"/>
      <c r="AM22" s="123"/>
      <c r="AN22" s="123"/>
      <c r="AO22" s="123"/>
      <c r="AP22" s="123"/>
      <c r="AQ22" s="123"/>
      <c r="AR22" s="123"/>
      <c r="AS22" s="123"/>
      <c r="AT22" s="47"/>
      <c r="AU22" s="6"/>
    </row>
    <row r="23" spans="1:47" ht="15.75" customHeight="1" x14ac:dyDescent="0.25">
      <c r="A23" s="43"/>
      <c r="B23" s="48"/>
      <c r="C23" s="296" t="s">
        <v>27</v>
      </c>
      <c r="D23" s="296"/>
      <c r="E23" s="48"/>
      <c r="F23" s="48"/>
      <c r="G23" s="48"/>
      <c r="H23" s="48"/>
      <c r="I23" s="48"/>
      <c r="J23" s="113"/>
      <c r="K23" s="48"/>
      <c r="L23" s="111"/>
      <c r="M23" s="112"/>
      <c r="N23" s="112"/>
      <c r="O23" s="113"/>
      <c r="P23" s="113"/>
      <c r="Q23" s="113"/>
      <c r="R23" s="48"/>
      <c r="S23" s="49"/>
      <c r="T23" s="49"/>
      <c r="U23" s="299"/>
      <c r="V23" s="299"/>
      <c r="W23" s="299"/>
      <c r="X23" s="299"/>
      <c r="Y23" s="299"/>
      <c r="Z23" s="299"/>
      <c r="AA23" s="299"/>
      <c r="AB23" s="48"/>
      <c r="AC23" s="300" t="s">
        <v>28</v>
      </c>
      <c r="AD23" s="300"/>
      <c r="AE23" s="300"/>
      <c r="AF23" s="300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  <c r="AS23" s="147"/>
    </row>
    <row r="24" spans="1:47" ht="15.75" customHeight="1" x14ac:dyDescent="0.25">
      <c r="A24" s="43"/>
      <c r="B24" s="48"/>
      <c r="C24" s="48"/>
      <c r="D24" s="142"/>
      <c r="E24" s="48"/>
      <c r="F24" s="48"/>
      <c r="G24" s="48"/>
      <c r="H24" s="48"/>
      <c r="I24" s="109"/>
      <c r="J24" s="48"/>
      <c r="K24" s="48"/>
      <c r="L24" s="110"/>
      <c r="M24" s="110"/>
      <c r="N24" s="110"/>
      <c r="O24" s="110"/>
      <c r="P24" s="110"/>
      <c r="Q24" s="110"/>
      <c r="R24" s="48"/>
      <c r="S24" s="49"/>
      <c r="T24" s="49"/>
      <c r="U24" s="49"/>
      <c r="V24" s="51"/>
      <c r="W24" s="48"/>
      <c r="X24" s="48"/>
      <c r="Y24" s="48"/>
      <c r="Z24" s="48"/>
      <c r="AA24" s="48"/>
      <c r="AB24" s="48"/>
      <c r="AC24" s="50"/>
      <c r="AD24" s="50"/>
      <c r="AE24" s="295"/>
      <c r="AF24" s="29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  <c r="AS24" s="145"/>
    </row>
    <row r="25" spans="1:47" ht="7.5" customHeight="1" x14ac:dyDescent="0.2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296"/>
      <c r="W25" s="296"/>
      <c r="X25" s="296"/>
      <c r="Y25" s="296"/>
      <c r="Z25" s="296"/>
      <c r="AA25" s="296"/>
      <c r="AB25" s="296"/>
      <c r="AC25" s="52"/>
      <c r="AD25" s="52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</row>
    <row r="26" spans="1:47" ht="27" customHeight="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2"/>
      <c r="S26" s="52"/>
      <c r="T26" s="52"/>
      <c r="U26" s="52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297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  <c r="AS26" s="146"/>
    </row>
    <row r="27" spans="1:47" ht="20.25" customHeight="1" x14ac:dyDescent="0.25">
      <c r="A27" s="10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141"/>
      <c r="N27" s="53"/>
      <c r="O27" s="53"/>
      <c r="P27" s="53"/>
      <c r="Q27" s="53"/>
      <c r="R27" s="54"/>
      <c r="S27" s="54"/>
      <c r="T27" s="54"/>
      <c r="U27" s="54"/>
      <c r="V27" s="55"/>
      <c r="W27" s="298"/>
      <c r="X27" s="298"/>
      <c r="Y27" s="298"/>
      <c r="Z27" s="298"/>
      <c r="AA27" s="298"/>
      <c r="AB27" s="298"/>
      <c r="AC27" s="298"/>
      <c r="AD27" s="298"/>
      <c r="AE27" s="298"/>
      <c r="AF27" s="298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</row>
    <row r="28" spans="1:47" ht="15.75" customHeight="1" x14ac:dyDescent="0.2">
      <c r="A28" s="10"/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294"/>
      <c r="AC28" s="294"/>
      <c r="AD28" s="294"/>
      <c r="AE28" s="294"/>
      <c r="AF28" s="29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</row>
    <row r="29" spans="1:47" x14ac:dyDescent="0.2">
      <c r="A29" s="10"/>
      <c r="B29" s="58"/>
      <c r="C29" s="59"/>
      <c r="D29" s="59"/>
      <c r="E29" s="59"/>
      <c r="F29" s="60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</row>
    <row r="30" spans="1:47" x14ac:dyDescent="0.2">
      <c r="A30" s="63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  <c r="AS30" s="62"/>
    </row>
    <row r="31" spans="1:47" x14ac:dyDescent="0.2">
      <c r="A31" s="64"/>
      <c r="B31" s="58"/>
      <c r="C31" s="65"/>
      <c r="D31" s="59"/>
      <c r="E31" s="59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</row>
    <row r="32" spans="1:47" x14ac:dyDescent="0.2">
      <c r="A32" s="64"/>
      <c r="B32" s="66"/>
      <c r="C32" s="47"/>
      <c r="D32" s="47"/>
      <c r="E32" s="47"/>
      <c r="F32" s="9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</row>
    <row r="33" spans="1:18" x14ac:dyDescent="0.2">
      <c r="A33" s="6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8" x14ac:dyDescent="0.2">
      <c r="A34" s="6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8" x14ac:dyDescent="0.2">
      <c r="A35" s="64"/>
      <c r="B35" s="6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8" x14ac:dyDescent="0.2">
      <c r="A36" s="63"/>
      <c r="B36" s="6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8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8" x14ac:dyDescent="0.2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8" x14ac:dyDescent="0.2">
      <c r="A39" s="6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8" x14ac:dyDescent="0.2">
      <c r="A40" s="6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8" x14ac:dyDescent="0.2">
      <c r="A41" s="43"/>
      <c r="B41" s="4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</row>
    <row r="42" spans="1:18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8" x14ac:dyDescent="0.2">
      <c r="A43" s="69"/>
      <c r="B43" s="69"/>
      <c r="C43" s="6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</row>
    <row r="44" spans="1:18" ht="6.7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</row>
    <row r="45" spans="1:18" ht="5.25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</row>
    <row r="46" spans="1:18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67"/>
      <c r="R46" s="47"/>
    </row>
    <row r="47" spans="1:18" x14ac:dyDescent="0.2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47"/>
    </row>
    <row r="48" spans="1:18" x14ac:dyDescent="0.2">
      <c r="A48" s="67"/>
      <c r="B48" s="67"/>
      <c r="C48" s="47"/>
      <c r="D48" s="47"/>
      <c r="E48" s="47"/>
      <c r="F48" s="70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67"/>
      <c r="R48" s="47"/>
    </row>
    <row r="49" spans="1:18" x14ac:dyDescent="0.2">
      <c r="A49" s="71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</row>
    <row r="50" spans="1:18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</row>
    <row r="51" spans="1:18" x14ac:dyDescent="0.2">
      <c r="A51" s="72"/>
      <c r="B51" s="73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</row>
    <row r="52" spans="1:18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</row>
    <row r="53" spans="1:18" x14ac:dyDescent="0.2">
      <c r="A53" s="7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</row>
    <row r="54" spans="1:18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</row>
    <row r="55" spans="1:18" x14ac:dyDescent="0.2">
      <c r="A55" s="72"/>
      <c r="B55" s="73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</row>
    <row r="56" spans="1:18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8" x14ac:dyDescent="0.2">
      <c r="A57" s="71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</row>
    <row r="58" spans="1:18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</row>
    <row r="59" spans="1:18" x14ac:dyDescent="0.2">
      <c r="A59" s="72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</row>
    <row r="60" spans="1:18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</row>
    <row r="61" spans="1:18" x14ac:dyDescent="0.2">
      <c r="A61" s="71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</row>
    <row r="62" spans="1:18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</row>
    <row r="63" spans="1:18" x14ac:dyDescent="0.2">
      <c r="A63" s="72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</row>
    <row r="64" spans="1:18" x14ac:dyDescent="0.2">
      <c r="A64" s="74"/>
      <c r="B64" s="7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7"/>
    </row>
    <row r="65" spans="1:18" ht="6.75" customHeight="1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</row>
    <row r="66" spans="1:18" x14ac:dyDescent="0.2">
      <c r="A66" s="69"/>
      <c r="B66" s="69"/>
      <c r="C66" s="6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</row>
    <row r="67" spans="1:18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</row>
    <row r="68" spans="1:18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47"/>
    </row>
    <row r="69" spans="1:18" x14ac:dyDescent="0.2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47"/>
    </row>
    <row r="70" spans="1:18" x14ac:dyDescent="0.2">
      <c r="A70" s="67"/>
      <c r="B70" s="67"/>
      <c r="C70" s="47"/>
      <c r="D70" s="47"/>
      <c r="E70" s="47"/>
      <c r="F70" s="70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47"/>
    </row>
    <row r="71" spans="1:18" x14ac:dyDescent="0.2">
      <c r="A71" s="71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</row>
    <row r="72" spans="1:18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</row>
    <row r="73" spans="1:18" x14ac:dyDescent="0.2">
      <c r="A73" s="72"/>
      <c r="B73" s="73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</row>
    <row r="74" spans="1:18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</row>
    <row r="75" spans="1:18" x14ac:dyDescent="0.2">
      <c r="A75" s="71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</row>
    <row r="76" spans="1:18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</row>
    <row r="77" spans="1:18" x14ac:dyDescent="0.2">
      <c r="A77" s="72"/>
      <c r="B77" s="73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</row>
    <row r="78" spans="1:18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</row>
    <row r="79" spans="1:18" x14ac:dyDescent="0.2">
      <c r="A79" s="71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</row>
    <row r="80" spans="1:18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</row>
    <row r="81" spans="1:18" x14ac:dyDescent="0.2">
      <c r="A81" s="7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</row>
    <row r="82" spans="1:18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</row>
    <row r="83" spans="1:18" x14ac:dyDescent="0.2">
      <c r="A83" s="71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</row>
    <row r="84" spans="1:18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</row>
    <row r="85" spans="1:18" x14ac:dyDescent="0.2">
      <c r="A85" s="72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</row>
    <row r="86" spans="1:18" x14ac:dyDescent="0.2">
      <c r="A86" s="74"/>
      <c r="B86" s="7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7"/>
    </row>
    <row r="87" spans="1:18" x14ac:dyDescent="0.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</row>
    <row r="88" spans="1:18" x14ac:dyDescent="0.2">
      <c r="A88" s="69"/>
      <c r="B88" s="69"/>
      <c r="C88" s="69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</row>
    <row r="89" spans="1:18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</row>
    <row r="90" spans="1:18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</row>
    <row r="91" spans="1:18" x14ac:dyDescent="0.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</row>
    <row r="92" spans="1:18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47"/>
    </row>
    <row r="93" spans="1:18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47"/>
    </row>
    <row r="94" spans="1:18" x14ac:dyDescent="0.2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47"/>
    </row>
    <row r="95" spans="1:18" x14ac:dyDescent="0.2">
      <c r="A95" s="71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</row>
    <row r="96" spans="1:18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</row>
    <row r="97" spans="1:18" x14ac:dyDescent="0.2">
      <c r="A97" s="72"/>
      <c r="B97" s="73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</row>
    <row r="98" spans="1:18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</row>
    <row r="99" spans="1:18" x14ac:dyDescent="0.2">
      <c r="A99" s="71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</row>
    <row r="100" spans="1:18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</row>
    <row r="101" spans="1:18" x14ac:dyDescent="0.2">
      <c r="A101" s="72"/>
      <c r="B101" s="73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</row>
    <row r="102" spans="1:18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</row>
    <row r="103" spans="1:18" x14ac:dyDescent="0.2">
      <c r="A103" s="71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</row>
    <row r="104" spans="1:18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</row>
    <row r="105" spans="1:18" x14ac:dyDescent="0.2">
      <c r="A105" s="72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</row>
    <row r="106" spans="1:18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</row>
    <row r="107" spans="1:18" x14ac:dyDescent="0.2">
      <c r="A107" s="71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</row>
    <row r="108" spans="1:18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</row>
    <row r="109" spans="1:18" x14ac:dyDescent="0.2">
      <c r="A109" s="72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</row>
    <row r="110" spans="1:18" x14ac:dyDescent="0.2">
      <c r="A110" s="74"/>
      <c r="B110" s="7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7"/>
    </row>
    <row r="111" spans="1:18" x14ac:dyDescent="0.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</row>
    <row r="112" spans="1:18" x14ac:dyDescent="0.2">
      <c r="A112" s="69"/>
      <c r="B112" s="69"/>
      <c r="C112" s="69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</row>
    <row r="113" spans="1:18" x14ac:dyDescent="0.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</row>
    <row r="114" spans="1:18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67"/>
      <c r="R114" s="47"/>
    </row>
    <row r="115" spans="1:18" x14ac:dyDescent="0.2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47"/>
    </row>
    <row r="116" spans="1:18" x14ac:dyDescent="0.2">
      <c r="A116" s="67"/>
      <c r="B116" s="67"/>
      <c r="C116" s="47"/>
      <c r="D116" s="47"/>
      <c r="E116" s="47"/>
      <c r="F116" s="70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47"/>
    </row>
    <row r="117" spans="1:18" x14ac:dyDescent="0.2">
      <c r="A117" s="71"/>
      <c r="B117" s="47"/>
      <c r="C117" s="47"/>
      <c r="D117" s="47"/>
      <c r="E117" s="47"/>
      <c r="F117" s="75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</row>
    <row r="118" spans="1:18" x14ac:dyDescent="0.2">
      <c r="A118" s="72"/>
      <c r="B118" s="73"/>
      <c r="C118" s="47"/>
      <c r="D118" s="47"/>
      <c r="E118" s="47"/>
      <c r="F118" s="75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</row>
    <row r="119" spans="1:18" x14ac:dyDescent="0.2">
      <c r="A119" s="72"/>
      <c r="B119" s="73"/>
      <c r="C119" s="47"/>
      <c r="D119" s="47"/>
      <c r="E119" s="47"/>
      <c r="F119" s="75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</row>
    <row r="120" spans="1:18" x14ac:dyDescent="0.2">
      <c r="A120" s="71"/>
      <c r="B120" s="47"/>
      <c r="C120" s="47"/>
      <c r="D120" s="47"/>
      <c r="E120" s="47"/>
      <c r="F120" s="75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</row>
    <row r="121" spans="1:18" x14ac:dyDescent="0.2">
      <c r="A121" s="72"/>
      <c r="B121" s="47"/>
      <c r="C121" s="47"/>
      <c r="D121" s="47"/>
      <c r="E121" s="47"/>
      <c r="F121" s="75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</row>
    <row r="122" spans="1:18" x14ac:dyDescent="0.2">
      <c r="A122" s="72"/>
      <c r="B122" s="73"/>
      <c r="C122" s="47"/>
      <c r="D122" s="47"/>
      <c r="E122" s="47"/>
      <c r="F122" s="75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</row>
    <row r="123" spans="1:18" x14ac:dyDescent="0.2">
      <c r="A123" s="71"/>
      <c r="B123" s="73"/>
      <c r="C123" s="47"/>
      <c r="D123" s="47"/>
      <c r="E123" s="47"/>
      <c r="F123" s="75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</row>
    <row r="124" spans="1:18" x14ac:dyDescent="0.2">
      <c r="A124" s="72"/>
      <c r="B124" s="47"/>
      <c r="C124" s="47"/>
      <c r="D124" s="47"/>
      <c r="E124" s="47"/>
      <c r="F124" s="75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</row>
    <row r="125" spans="1:18" x14ac:dyDescent="0.2">
      <c r="A125" s="72"/>
      <c r="B125" s="47"/>
      <c r="C125" s="47"/>
      <c r="D125" s="47"/>
      <c r="E125" s="47"/>
      <c r="F125" s="75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</row>
    <row r="126" spans="1:18" x14ac:dyDescent="0.2">
      <c r="A126" s="71"/>
      <c r="B126" s="47"/>
      <c r="C126" s="47"/>
      <c r="D126" s="47"/>
      <c r="E126" s="47"/>
      <c r="F126" s="75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</row>
    <row r="127" spans="1:18" x14ac:dyDescent="0.2">
      <c r="A127" s="72"/>
      <c r="B127" s="47"/>
      <c r="C127" s="47"/>
      <c r="D127" s="47"/>
      <c r="E127" s="47"/>
      <c r="F127" s="75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</row>
    <row r="128" spans="1:18" x14ac:dyDescent="0.2">
      <c r="A128" s="74"/>
      <c r="B128" s="7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7"/>
    </row>
    <row r="129" spans="1:18" x14ac:dyDescent="0.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</row>
    <row r="130" spans="1:18" x14ac:dyDescent="0.2">
      <c r="A130" s="69"/>
      <c r="B130" s="69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</row>
    <row r="131" spans="1:18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</row>
    <row r="132" spans="1:18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</row>
    <row r="133" spans="1:18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</row>
    <row r="134" spans="1:18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</row>
    <row r="135" spans="1:18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</row>
    <row r="136" spans="1:18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</row>
    <row r="137" spans="1:18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</row>
    <row r="138" spans="1:18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</row>
    <row r="139" spans="1:18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</row>
    <row r="140" spans="1:18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</row>
    <row r="141" spans="1:18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</row>
    <row r="142" spans="1:18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</row>
    <row r="143" spans="1:18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</row>
    <row r="144" spans="1:18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</row>
    <row r="145" spans="1:18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</row>
    <row r="146" spans="1:18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</row>
    <row r="147" spans="1:18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</row>
    <row r="148" spans="1:18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</row>
    <row r="149" spans="1:18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</row>
    <row r="150" spans="1:18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</row>
    <row r="151" spans="1:18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</row>
    <row r="152" spans="1:18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</row>
    <row r="153" spans="1:18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</row>
    <row r="154" spans="1:18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</row>
    <row r="155" spans="1:18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</row>
    <row r="156" spans="1:18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</row>
    <row r="157" spans="1:18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</row>
    <row r="158" spans="1:18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</row>
    <row r="159" spans="1:18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</row>
    <row r="160" spans="1:18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</row>
    <row r="161" spans="1:18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</row>
    <row r="162" spans="1:18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</row>
    <row r="163" spans="1:18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</row>
    <row r="164" spans="1:18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</row>
    <row r="165" spans="1:18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</row>
    <row r="166" spans="1:18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</row>
    <row r="167" spans="1:18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</row>
    <row r="168" spans="1:18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</row>
    <row r="169" spans="1:18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</row>
    <row r="170" spans="1:18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</row>
    <row r="171" spans="1:18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</row>
    <row r="172" spans="1:18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</row>
    <row r="173" spans="1:18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</row>
    <row r="174" spans="1:18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</row>
    <row r="175" spans="1:18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</row>
    <row r="176" spans="1:18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</row>
    <row r="177" spans="1:18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</row>
    <row r="178" spans="1:18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</row>
    <row r="179" spans="1:18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</row>
    <row r="180" spans="1:18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</row>
    <row r="181" spans="1:18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</row>
    <row r="182" spans="1:18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</row>
    <row r="183" spans="1:18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</row>
    <row r="184" spans="1:18" x14ac:dyDescent="0.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</row>
  </sheetData>
  <mergeCells count="53">
    <mergeCell ref="W27:AF27"/>
    <mergeCell ref="AF5:AF9"/>
    <mergeCell ref="K6:L6"/>
    <mergeCell ref="AB28:AF28"/>
    <mergeCell ref="AB6:AC7"/>
    <mergeCell ref="AD6:AE7"/>
    <mergeCell ref="X6:Y7"/>
    <mergeCell ref="Z6:AA7"/>
    <mergeCell ref="AE24:AF24"/>
    <mergeCell ref="V25:AB25"/>
    <mergeCell ref="V26:AF26"/>
    <mergeCell ref="M6:O6"/>
    <mergeCell ref="Q7:Q9"/>
    <mergeCell ref="C23:D23"/>
    <mergeCell ref="U23:AA23"/>
    <mergeCell ref="AC23:AF23"/>
    <mergeCell ref="R6:S7"/>
    <mergeCell ref="T6:U7"/>
    <mergeCell ref="V6:W7"/>
    <mergeCell ref="H6:H9"/>
    <mergeCell ref="G6:G9"/>
    <mergeCell ref="F6:F7"/>
    <mergeCell ref="A19:B19"/>
    <mergeCell ref="A6:A9"/>
    <mergeCell ref="B6:B9"/>
    <mergeCell ref="C6:D7"/>
    <mergeCell ref="E6:E9"/>
    <mergeCell ref="AY7:AY9"/>
    <mergeCell ref="AK5:AK9"/>
    <mergeCell ref="AL5:AQ5"/>
    <mergeCell ref="AL6:AQ6"/>
    <mergeCell ref="AL7:AM7"/>
    <mergeCell ref="AG5:AH5"/>
    <mergeCell ref="AG6:AH7"/>
    <mergeCell ref="AI5:AJ5"/>
    <mergeCell ref="AI6:AJ7"/>
    <mergeCell ref="AX7:AX9"/>
    <mergeCell ref="AT5:AT9"/>
    <mergeCell ref="AN7:AO7"/>
    <mergeCell ref="AP7:AQ7"/>
    <mergeCell ref="AS5:AS9"/>
    <mergeCell ref="AR5:AR9"/>
    <mergeCell ref="AB2:AF2"/>
    <mergeCell ref="A3:AE3"/>
    <mergeCell ref="C5:H5"/>
    <mergeCell ref="R5:S5"/>
    <mergeCell ref="T5:U5"/>
    <mergeCell ref="Z5:AA5"/>
    <mergeCell ref="AB5:AC5"/>
    <mergeCell ref="AD5:AE5"/>
    <mergeCell ref="V5:W5"/>
    <mergeCell ref="X5:Y5"/>
    <mergeCell ref="I5:Q5"/>
  </mergeCells>
  <phoneticPr fontId="23" type="noConversion"/>
  <pageMargins left="0.25" right="0.25" top="0.75" bottom="0.75" header="0.3" footer="0.3"/>
  <pageSetup paperSize="9" scale="80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4"/>
  <sheetViews>
    <sheetView topLeftCell="A2" zoomScale="95" zoomScaleNormal="95" workbookViewId="0">
      <selection activeCell="N16" sqref="N16"/>
    </sheetView>
  </sheetViews>
  <sheetFormatPr defaultColWidth="13" defaultRowHeight="11.25" x14ac:dyDescent="0.2"/>
  <cols>
    <col min="1" max="1" width="2.85546875" style="1" customWidth="1"/>
    <col min="2" max="2" width="15.42578125" style="1" customWidth="1"/>
    <col min="3" max="3" width="4.5703125" style="1" customWidth="1"/>
    <col min="4" max="4" width="7" style="1" customWidth="1"/>
    <col min="5" max="5" width="6.42578125" style="1" customWidth="1"/>
    <col min="6" max="6" width="9.42578125" style="1" customWidth="1"/>
    <col min="7" max="7" width="8.5703125" style="1" customWidth="1"/>
    <col min="8" max="8" width="7.28515625" style="1" customWidth="1"/>
    <col min="9" max="9" width="7.140625" style="1" customWidth="1"/>
    <col min="10" max="11" width="6.28515625" style="1" customWidth="1"/>
    <col min="12" max="12" width="6.140625" style="1" customWidth="1"/>
    <col min="13" max="13" width="7" style="1" customWidth="1"/>
    <col min="14" max="14" width="5.5703125" style="1" customWidth="1"/>
    <col min="15" max="15" width="6.5703125" style="1" customWidth="1"/>
    <col min="16" max="16" width="8.28515625" style="1" customWidth="1"/>
    <col min="17" max="17" width="3.7109375" style="1" customWidth="1"/>
    <col min="18" max="18" width="5.7109375" style="1" customWidth="1"/>
    <col min="19" max="19" width="3.140625" style="1" customWidth="1"/>
    <col min="20" max="20" width="5" style="1" customWidth="1"/>
    <col min="21" max="21" width="5.28515625" style="1" customWidth="1"/>
    <col min="22" max="22" width="7.7109375" style="1" customWidth="1"/>
    <col min="23" max="23" width="3.42578125" style="1" customWidth="1"/>
    <col min="24" max="24" width="4.7109375" style="1" customWidth="1"/>
    <col min="25" max="25" width="4.140625" style="1" customWidth="1"/>
    <col min="26" max="26" width="6" style="1" customWidth="1"/>
    <col min="27" max="27" width="6.5703125" style="1" customWidth="1"/>
    <col min="28" max="28" width="5.7109375" style="1" customWidth="1"/>
    <col min="29" max="29" width="4.28515625" style="1" customWidth="1"/>
    <col min="30" max="30" width="6.5703125" style="1" customWidth="1"/>
    <col min="31" max="31" width="10.140625" style="1" customWidth="1"/>
    <col min="32" max="32" width="7" style="1" customWidth="1"/>
    <col min="33" max="33" width="7.85546875" style="1" customWidth="1"/>
    <col min="34" max="36" width="8.42578125" style="1" customWidth="1"/>
    <col min="37" max="37" width="5" style="1" customWidth="1"/>
    <col min="38" max="38" width="5.85546875" style="1" customWidth="1"/>
    <col min="39" max="39" width="4.140625" style="1" customWidth="1"/>
    <col min="40" max="40" width="5.42578125" style="1" customWidth="1"/>
    <col min="41" max="41" width="8.7109375" style="1" customWidth="1"/>
    <col min="42" max="43" width="8.28515625" style="1" customWidth="1"/>
    <col min="44" max="44" width="10.140625" style="1" customWidth="1"/>
    <col min="45" max="45" width="5.42578125" style="1" customWidth="1"/>
    <col min="46" max="46" width="6.7109375" style="1" customWidth="1"/>
    <col min="47" max="16384" width="13" style="1"/>
  </cols>
  <sheetData>
    <row r="1" spans="1:53" ht="14.25" customHeight="1" x14ac:dyDescent="0.2">
      <c r="AE1" s="55" t="s">
        <v>0</v>
      </c>
      <c r="AF1" s="55"/>
      <c r="AG1" s="55"/>
      <c r="AH1" s="55"/>
      <c r="AI1" s="55"/>
      <c r="AJ1" s="55"/>
      <c r="AK1" s="55"/>
      <c r="AL1" s="55"/>
      <c r="AM1" s="55"/>
      <c r="AN1" s="55"/>
      <c r="AO1" s="55"/>
      <c r="AP1" s="55"/>
      <c r="AQ1" s="55"/>
      <c r="AR1" s="55"/>
    </row>
    <row r="2" spans="1:53" ht="4.5" customHeight="1" x14ac:dyDescent="0.2">
      <c r="AA2" s="265"/>
      <c r="AB2" s="265"/>
      <c r="AC2" s="265"/>
      <c r="AD2" s="265"/>
      <c r="AE2" s="265"/>
    </row>
    <row r="3" spans="1:53" ht="55.5" customHeight="1" x14ac:dyDescent="0.2">
      <c r="A3" s="266" t="s">
        <v>33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66"/>
      <c r="AB3" s="266"/>
      <c r="AC3" s="266"/>
      <c r="AD3" s="266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53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53" ht="30" customHeight="1" x14ac:dyDescent="0.2">
      <c r="A5" s="4"/>
      <c r="B5" s="5"/>
      <c r="C5" s="267" t="s">
        <v>1</v>
      </c>
      <c r="D5" s="268"/>
      <c r="E5" s="268"/>
      <c r="F5" s="268"/>
      <c r="G5" s="268"/>
      <c r="H5" s="269"/>
      <c r="I5" s="343" t="s">
        <v>39</v>
      </c>
      <c r="J5" s="344"/>
      <c r="K5" s="344"/>
      <c r="L5" s="344"/>
      <c r="M5" s="344"/>
      <c r="N5" s="344"/>
      <c r="O5" s="345"/>
      <c r="P5" s="116"/>
      <c r="Q5" s="267" t="s">
        <v>2</v>
      </c>
      <c r="R5" s="269"/>
      <c r="S5" s="267" t="s">
        <v>2</v>
      </c>
      <c r="T5" s="269"/>
      <c r="U5" s="270" t="s">
        <v>2</v>
      </c>
      <c r="V5" s="270"/>
      <c r="W5" s="270" t="s">
        <v>2</v>
      </c>
      <c r="X5" s="270"/>
      <c r="Y5" s="267" t="s">
        <v>2</v>
      </c>
      <c r="Z5" s="268"/>
      <c r="AA5" s="270" t="s">
        <v>2</v>
      </c>
      <c r="AB5" s="270"/>
      <c r="AC5" s="270" t="s">
        <v>2</v>
      </c>
      <c r="AD5" s="267"/>
      <c r="AE5" s="346" t="s">
        <v>3</v>
      </c>
      <c r="AF5" s="314" t="str">
        <f>'гориво_бр. деца'!AG5</f>
        <v>100% от средствата</v>
      </c>
      <c r="AG5" s="314"/>
      <c r="AH5" s="314" t="str">
        <f>'гориво_бр. деца'!AI5</f>
        <v>100% от средствата</v>
      </c>
      <c r="AI5" s="314"/>
      <c r="AJ5" s="342" t="e">
        <f>'гориво_бр. деца'!AK5</f>
        <v>#REF!</v>
      </c>
      <c r="AK5" s="314" t="e">
        <f>'гориво_бр. деца'!AL5</f>
        <v>#REF!</v>
      </c>
      <c r="AL5" s="314"/>
      <c r="AM5" s="314"/>
      <c r="AN5" s="314"/>
      <c r="AO5" s="314"/>
      <c r="AP5" s="314"/>
      <c r="AQ5" s="314" t="e">
        <f>'гориво_бр. деца'!AR5</f>
        <v>#REF!</v>
      </c>
      <c r="AR5" s="314" t="e">
        <f>'гориво_бр. деца'!AS5</f>
        <v>#REF!</v>
      </c>
      <c r="AS5" s="277" t="s">
        <v>38</v>
      </c>
      <c r="AT5" s="6"/>
    </row>
    <row r="6" spans="1:53" ht="15.75" customHeight="1" x14ac:dyDescent="0.2">
      <c r="A6" s="278" t="s">
        <v>4</v>
      </c>
      <c r="B6" s="279" t="s">
        <v>5</v>
      </c>
      <c r="C6" s="317" t="s">
        <v>31</v>
      </c>
      <c r="D6" s="318"/>
      <c r="E6" s="321" t="s">
        <v>32</v>
      </c>
      <c r="F6" s="329" t="s">
        <v>6</v>
      </c>
      <c r="G6" s="287" t="s">
        <v>7</v>
      </c>
      <c r="H6" s="328" t="s">
        <v>7</v>
      </c>
      <c r="I6" s="140"/>
      <c r="J6" s="140"/>
      <c r="K6" s="337">
        <v>47089.35</v>
      </c>
      <c r="L6" s="338"/>
      <c r="M6" s="338"/>
      <c r="N6" s="339"/>
      <c r="O6" s="120"/>
      <c r="P6" s="122"/>
      <c r="Q6" s="324" t="s">
        <v>8</v>
      </c>
      <c r="R6" s="325"/>
      <c r="S6" s="324" t="s">
        <v>9</v>
      </c>
      <c r="T6" s="325"/>
      <c r="U6" s="324" t="s">
        <v>10</v>
      </c>
      <c r="V6" s="325"/>
      <c r="W6" s="324" t="s">
        <v>35</v>
      </c>
      <c r="X6" s="325"/>
      <c r="Y6" s="317" t="s">
        <v>11</v>
      </c>
      <c r="Z6" s="335"/>
      <c r="AA6" s="324" t="s">
        <v>12</v>
      </c>
      <c r="AB6" s="325"/>
      <c r="AC6" s="324" t="s">
        <v>13</v>
      </c>
      <c r="AD6" s="333"/>
      <c r="AE6" s="347"/>
      <c r="AF6" s="314" t="str">
        <f>'гориво_бр. деца'!AG6</f>
        <v>Норматив за създаване на условия за приобщ. Обр.</v>
      </c>
      <c r="AG6" s="314"/>
      <c r="AH6" s="314" t="e">
        <f>'гориво_бр. деца'!AI6</f>
        <v>#REF!</v>
      </c>
      <c r="AI6" s="314"/>
      <c r="AJ6" s="342"/>
      <c r="AK6" s="314" t="e">
        <f>'гориво_бр. деца'!AL6</f>
        <v>#REF!</v>
      </c>
      <c r="AL6" s="314"/>
      <c r="AM6" s="314"/>
      <c r="AN6" s="314"/>
      <c r="AO6" s="314"/>
      <c r="AP6" s="314"/>
      <c r="AQ6" s="314"/>
      <c r="AR6" s="314"/>
      <c r="AS6" s="277"/>
      <c r="AT6" s="6"/>
    </row>
    <row r="7" spans="1:53" ht="42.75" customHeight="1" x14ac:dyDescent="0.2">
      <c r="A7" s="278"/>
      <c r="B7" s="279"/>
      <c r="C7" s="319"/>
      <c r="D7" s="320"/>
      <c r="E7" s="322"/>
      <c r="F7" s="330"/>
      <c r="G7" s="287"/>
      <c r="H7" s="328"/>
      <c r="I7" s="118" t="s">
        <v>42</v>
      </c>
      <c r="J7" s="119" t="s">
        <v>38</v>
      </c>
      <c r="K7" s="139" t="s">
        <v>60</v>
      </c>
      <c r="L7" s="139" t="s">
        <v>61</v>
      </c>
      <c r="M7" s="139" t="s">
        <v>62</v>
      </c>
      <c r="N7" s="139" t="s">
        <v>63</v>
      </c>
      <c r="O7" s="139" t="s">
        <v>40</v>
      </c>
      <c r="P7" s="340" t="s">
        <v>41</v>
      </c>
      <c r="Q7" s="326"/>
      <c r="R7" s="327"/>
      <c r="S7" s="326"/>
      <c r="T7" s="327"/>
      <c r="U7" s="326"/>
      <c r="V7" s="327"/>
      <c r="W7" s="326"/>
      <c r="X7" s="327"/>
      <c r="Y7" s="319"/>
      <c r="Z7" s="336"/>
      <c r="AA7" s="326"/>
      <c r="AB7" s="327"/>
      <c r="AC7" s="326"/>
      <c r="AD7" s="334"/>
      <c r="AE7" s="347"/>
      <c r="AF7" s="314"/>
      <c r="AG7" s="314"/>
      <c r="AH7" s="314"/>
      <c r="AI7" s="314"/>
      <c r="AJ7" s="342"/>
      <c r="AK7" s="314" t="e">
        <f>'гориво_бр. деца'!AL7</f>
        <v>#REF!</v>
      </c>
      <c r="AL7" s="314"/>
      <c r="AM7" s="314" t="e">
        <f>'гориво_бр. деца'!AN7</f>
        <v>#REF!</v>
      </c>
      <c r="AN7" s="314"/>
      <c r="AO7" s="314" t="e">
        <f>'гориво_бр. деца'!AP7</f>
        <v>#REF!</v>
      </c>
      <c r="AP7" s="314"/>
      <c r="AQ7" s="314"/>
      <c r="AR7" s="314"/>
      <c r="AS7" s="277"/>
      <c r="AT7" s="6"/>
      <c r="AV7" s="9"/>
      <c r="AW7" s="271"/>
      <c r="AX7" s="271"/>
      <c r="AY7" s="10"/>
      <c r="AZ7" s="9"/>
      <c r="BA7" s="9"/>
    </row>
    <row r="8" spans="1:53" ht="20.25" customHeight="1" x14ac:dyDescent="0.2">
      <c r="A8" s="278"/>
      <c r="B8" s="279"/>
      <c r="C8" s="182"/>
      <c r="D8" s="183"/>
      <c r="E8" s="322"/>
      <c r="F8" s="153"/>
      <c r="G8" s="287"/>
      <c r="H8" s="328"/>
      <c r="I8" s="118"/>
      <c r="J8" s="119"/>
      <c r="K8" s="139">
        <f>0.25795*K6</f>
        <v>12146.6978325</v>
      </c>
      <c r="L8" s="139">
        <f>0.13815*K6</f>
        <v>6505.3937024999996</v>
      </c>
      <c r="M8" s="139">
        <f>0.3339*K6</f>
        <v>15723.133964999999</v>
      </c>
      <c r="N8" s="139">
        <f>0.26993*K6</f>
        <v>12710.828245499999</v>
      </c>
      <c r="O8" s="139"/>
      <c r="P8" s="340"/>
      <c r="Q8" s="154"/>
      <c r="R8" s="155"/>
      <c r="S8" s="154"/>
      <c r="T8" s="155"/>
      <c r="U8" s="154"/>
      <c r="V8" s="155"/>
      <c r="W8" s="154"/>
      <c r="X8" s="155"/>
      <c r="Y8" s="157"/>
      <c r="Z8" s="158"/>
      <c r="AA8" s="154"/>
      <c r="AB8" s="155"/>
      <c r="AC8" s="154"/>
      <c r="AD8" s="156"/>
      <c r="AE8" s="347"/>
      <c r="AF8" s="13"/>
      <c r="AG8" s="13"/>
      <c r="AH8" s="13"/>
      <c r="AI8" s="13"/>
      <c r="AJ8" s="342"/>
      <c r="AK8" s="13"/>
      <c r="AL8" s="13"/>
      <c r="AM8" s="13"/>
      <c r="AN8" s="13"/>
      <c r="AO8" s="13"/>
      <c r="AP8" s="13"/>
      <c r="AQ8" s="314"/>
      <c r="AR8" s="314"/>
      <c r="AS8" s="277"/>
      <c r="AT8" s="6"/>
      <c r="AV8" s="9"/>
      <c r="AW8" s="271"/>
      <c r="AX8" s="271"/>
      <c r="AY8" s="10"/>
      <c r="AZ8" s="9"/>
      <c r="BA8" s="9"/>
    </row>
    <row r="9" spans="1:53" ht="63.75" customHeight="1" x14ac:dyDescent="0.2">
      <c r="A9" s="278"/>
      <c r="B9" s="279"/>
      <c r="C9" s="132" t="s">
        <v>14</v>
      </c>
      <c r="D9" s="133">
        <v>1611</v>
      </c>
      <c r="E9" s="323"/>
      <c r="F9" s="134">
        <v>4708935</v>
      </c>
      <c r="G9" s="287"/>
      <c r="H9" s="328"/>
      <c r="I9" s="114">
        <v>47089.35</v>
      </c>
      <c r="J9" s="120"/>
      <c r="K9" s="148" t="s">
        <v>45</v>
      </c>
      <c r="L9" s="148" t="s">
        <v>46</v>
      </c>
      <c r="M9" s="148" t="s">
        <v>47</v>
      </c>
      <c r="N9" s="148" t="s">
        <v>48</v>
      </c>
      <c r="O9" s="121"/>
      <c r="P9" s="341"/>
      <c r="Q9" s="124" t="s">
        <v>14</v>
      </c>
      <c r="R9" s="125">
        <v>373</v>
      </c>
      <c r="S9" s="124" t="s">
        <v>14</v>
      </c>
      <c r="T9" s="126">
        <v>3070</v>
      </c>
      <c r="U9" s="124" t="s">
        <v>14</v>
      </c>
      <c r="V9" s="126">
        <v>25</v>
      </c>
      <c r="W9" s="124" t="s">
        <v>14</v>
      </c>
      <c r="X9" s="126">
        <v>862</v>
      </c>
      <c r="Y9" s="124" t="s">
        <v>14</v>
      </c>
      <c r="Z9" s="124">
        <v>87</v>
      </c>
      <c r="AA9" s="124" t="s">
        <v>14</v>
      </c>
      <c r="AB9" s="126">
        <v>72</v>
      </c>
      <c r="AC9" s="124" t="s">
        <v>14</v>
      </c>
      <c r="AD9" s="127">
        <v>580</v>
      </c>
      <c r="AE9" s="348"/>
      <c r="AF9" s="13" t="str">
        <f>'гориво_бр. деца'!AG9</f>
        <v>брой ученици</v>
      </c>
      <c r="AG9" s="13">
        <f>'гориво_бр. деца'!AH9</f>
        <v>326</v>
      </c>
      <c r="AH9" s="13" t="e">
        <f>'гориво_бр. деца'!AI9</f>
        <v>#REF!</v>
      </c>
      <c r="AI9" s="13" t="e">
        <f>'гориво_бр. деца'!AJ9</f>
        <v>#REF!</v>
      </c>
      <c r="AJ9" s="342"/>
      <c r="AK9" s="13" t="e">
        <f>'гориво_бр. деца'!AL9</f>
        <v>#REF!</v>
      </c>
      <c r="AL9" s="13" t="e">
        <f>'гориво_бр. деца'!AM9</f>
        <v>#REF!</v>
      </c>
      <c r="AM9" s="13" t="e">
        <f>'гориво_бр. деца'!AN9</f>
        <v>#REF!</v>
      </c>
      <c r="AN9" s="13" t="e">
        <f>'гориво_бр. деца'!AO9</f>
        <v>#REF!</v>
      </c>
      <c r="AO9" s="13" t="e">
        <f>'гориво_бр. деца'!AP9</f>
        <v>#REF!</v>
      </c>
      <c r="AP9" s="13" t="e">
        <f>'гориво_бр. деца'!AQ9</f>
        <v>#REF!</v>
      </c>
      <c r="AQ9" s="314"/>
      <c r="AR9" s="314"/>
      <c r="AS9" s="277"/>
      <c r="AT9" s="14"/>
      <c r="AV9" s="9"/>
      <c r="AW9" s="271"/>
      <c r="AX9" s="271"/>
      <c r="AY9" s="15"/>
      <c r="AZ9" s="9"/>
      <c r="BA9" s="9"/>
    </row>
    <row r="10" spans="1:53" ht="24" customHeight="1" x14ac:dyDescent="0.2">
      <c r="A10" s="79">
        <v>1</v>
      </c>
      <c r="B10" s="129" t="s">
        <v>15</v>
      </c>
      <c r="C10" s="81">
        <v>320</v>
      </c>
      <c r="D10" s="82">
        <f>$D$9*C10</f>
        <v>515520</v>
      </c>
      <c r="E10" s="82">
        <v>29000</v>
      </c>
      <c r="F10" s="83">
        <f t="shared" ref="F10:F18" si="0">$F$9*C10/$C$19</f>
        <v>488447.06645056728</v>
      </c>
      <c r="G10" s="84">
        <f>F10+E10</f>
        <v>517447.06645056728</v>
      </c>
      <c r="H10" s="82">
        <f>G10</f>
        <v>517447.06645056728</v>
      </c>
      <c r="I10" s="115">
        <f>F10-F10*1%</f>
        <v>483562.5957860616</v>
      </c>
      <c r="J10" s="128">
        <f>F10*1%</f>
        <v>4884.4706645056731</v>
      </c>
      <c r="K10" s="128"/>
      <c r="L10" s="128">
        <f>C10*L8/320</f>
        <v>6505.3937024999996</v>
      </c>
      <c r="M10" s="128"/>
      <c r="N10" s="128"/>
      <c r="O10" s="128">
        <f>SUM(K10:N10)</f>
        <v>6505.3937024999996</v>
      </c>
      <c r="P10" s="128">
        <f t="shared" ref="P10:P19" si="1">SUM(I10,O10)</f>
        <v>490067.98948856158</v>
      </c>
      <c r="Q10" s="81">
        <v>3</v>
      </c>
      <c r="R10" s="82">
        <f t="shared" ref="R10:R18" si="2">Q10*$R$9</f>
        <v>1119</v>
      </c>
      <c r="S10" s="82">
        <v>1</v>
      </c>
      <c r="T10" s="82">
        <f t="shared" ref="T10:T18" si="3">S10*$T$9</f>
        <v>3070</v>
      </c>
      <c r="U10" s="81">
        <f t="shared" ref="U10:U18" si="4">C10</f>
        <v>320</v>
      </c>
      <c r="V10" s="82">
        <f t="shared" ref="V10:V18" si="5">U10*$V$9</f>
        <v>8000</v>
      </c>
      <c r="W10" s="82"/>
      <c r="X10" s="82">
        <f t="shared" ref="X10:X18" si="6">W10*$X$9</f>
        <v>0</v>
      </c>
      <c r="Y10" s="86">
        <v>215</v>
      </c>
      <c r="Z10" s="86">
        <f t="shared" ref="Z10:Z18" si="7">Y10*$Z$9</f>
        <v>18705</v>
      </c>
      <c r="AA10" s="87"/>
      <c r="AB10" s="88"/>
      <c r="AC10" s="82"/>
      <c r="AD10" s="89">
        <f t="shared" ref="AD10:AD18" si="8">AC10*$AD$9</f>
        <v>0</v>
      </c>
      <c r="AE10" s="180">
        <f>P10+E10+R10+T10+V10+Z10+AB10+AD10+X10</f>
        <v>549961.98948856164</v>
      </c>
      <c r="AF10" s="173">
        <f>'гориво_бр. деца'!AG10</f>
        <v>1</v>
      </c>
      <c r="AG10" s="173">
        <f>'гориво_бр. деца'!AH10</f>
        <v>326</v>
      </c>
      <c r="AH10" s="173" t="e">
        <f>'гориво_бр. деца'!AI10</f>
        <v>#REF!</v>
      </c>
      <c r="AI10" s="173" t="e">
        <f>'гориво_бр. деца'!AJ10</f>
        <v>#REF!</v>
      </c>
      <c r="AJ10" s="177" t="e">
        <f>'гориво_бр. деца'!AK10</f>
        <v>#REF!</v>
      </c>
      <c r="AK10" s="173" t="e">
        <f>'гориво_бр. деца'!AL10</f>
        <v>#REF!</v>
      </c>
      <c r="AL10" s="173" t="e">
        <f>'гориво_бр. деца'!AM10</f>
        <v>#REF!</v>
      </c>
      <c r="AM10" s="173" t="e">
        <f>'гориво_бр. деца'!AN10</f>
        <v>#REF!</v>
      </c>
      <c r="AN10" s="173" t="e">
        <f>'гориво_бр. деца'!AO10</f>
        <v>#REF!</v>
      </c>
      <c r="AO10" s="173" t="e">
        <f>'гориво_бр. деца'!AP10</f>
        <v>#REF!</v>
      </c>
      <c r="AP10" s="173" t="e">
        <f>'гориво_бр. деца'!AQ10</f>
        <v>#REF!</v>
      </c>
      <c r="AQ10" s="173" t="e">
        <f>'гориво_бр. деца'!AR10</f>
        <v>#REF!</v>
      </c>
      <c r="AR10" s="173" t="e">
        <f>'гориво_бр. деца'!AS10</f>
        <v>#REF!</v>
      </c>
      <c r="AS10" s="26">
        <f t="shared" ref="AS10:AS19" si="9">O10-J10</f>
        <v>1620.9230379943265</v>
      </c>
      <c r="AT10" s="27"/>
      <c r="AV10" s="9"/>
      <c r="AW10" s="28"/>
      <c r="AX10" s="29"/>
      <c r="AY10" s="15"/>
      <c r="AZ10" s="9"/>
      <c r="BA10" s="15"/>
    </row>
    <row r="11" spans="1:53" ht="18.75" customHeight="1" x14ac:dyDescent="0.2">
      <c r="A11" s="30">
        <v>2</v>
      </c>
      <c r="B11" s="130" t="s">
        <v>16</v>
      </c>
      <c r="C11" s="18">
        <v>416</v>
      </c>
      <c r="D11" s="19">
        <f t="shared" ref="D11:D20" si="10">$D$9*C11</f>
        <v>670176</v>
      </c>
      <c r="E11" s="19">
        <v>29000</v>
      </c>
      <c r="F11" s="20">
        <f t="shared" si="0"/>
        <v>634981.18638573738</v>
      </c>
      <c r="G11" s="21">
        <f t="shared" ref="G11:G18" si="11">F11+E11</f>
        <v>663981.18638573738</v>
      </c>
      <c r="H11" s="19">
        <f t="shared" ref="H11:H18" si="12">G11</f>
        <v>663981.18638573738</v>
      </c>
      <c r="I11" s="115">
        <f t="shared" ref="I11:I18" si="13">F11-F11*1%</f>
        <v>628631.37452188006</v>
      </c>
      <c r="J11" s="128">
        <f t="shared" ref="J11:J18" si="14">F11*1%</f>
        <v>6349.8118638573742</v>
      </c>
      <c r="K11" s="128"/>
      <c r="L11" s="128"/>
      <c r="M11" s="128">
        <f>C11*M8/1288</f>
        <v>5078.279293043478</v>
      </c>
      <c r="N11" s="128"/>
      <c r="O11" s="128">
        <f t="shared" ref="O11:O18" si="15">SUM(K11:N11)</f>
        <v>5078.279293043478</v>
      </c>
      <c r="P11" s="128">
        <f t="shared" si="1"/>
        <v>633709.65381492348</v>
      </c>
      <c r="Q11" s="18">
        <v>3</v>
      </c>
      <c r="R11" s="19">
        <f t="shared" si="2"/>
        <v>1119</v>
      </c>
      <c r="S11" s="22"/>
      <c r="T11" s="19">
        <f t="shared" si="3"/>
        <v>0</v>
      </c>
      <c r="U11" s="18">
        <f t="shared" si="4"/>
        <v>416</v>
      </c>
      <c r="V11" s="19">
        <f t="shared" si="5"/>
        <v>10400</v>
      </c>
      <c r="W11" s="19"/>
      <c r="X11" s="19">
        <f t="shared" si="6"/>
        <v>0</v>
      </c>
      <c r="Y11" s="23">
        <v>213</v>
      </c>
      <c r="Z11" s="23">
        <f t="shared" si="7"/>
        <v>18531</v>
      </c>
      <c r="AA11" s="24"/>
      <c r="AB11" s="25"/>
      <c r="AC11" s="19"/>
      <c r="AD11" s="77">
        <f t="shared" si="8"/>
        <v>0</v>
      </c>
      <c r="AE11" s="180">
        <f t="shared" ref="AE11:AE20" si="16">P11+E11+R11+T11+V11+Z11+AB11+AD11+X11</f>
        <v>692759.65381492348</v>
      </c>
      <c r="AF11" s="169">
        <f>'гориво_бр. деца'!AG11</f>
        <v>0</v>
      </c>
      <c r="AG11" s="169">
        <f>'гориво_бр. деца'!AH11</f>
        <v>0</v>
      </c>
      <c r="AH11" s="169" t="e">
        <f>'гориво_бр. деца'!AI11</f>
        <v>#REF!</v>
      </c>
      <c r="AI11" s="169" t="e">
        <f>'гориво_бр. деца'!AJ11</f>
        <v>#REF!</v>
      </c>
      <c r="AJ11" s="177" t="e">
        <f>'гориво_бр. деца'!AK11</f>
        <v>#REF!</v>
      </c>
      <c r="AK11" s="169" t="e">
        <f>'гориво_бр. деца'!AL11</f>
        <v>#REF!</v>
      </c>
      <c r="AL11" s="169" t="e">
        <f>'гориво_бр. деца'!AM11</f>
        <v>#REF!</v>
      </c>
      <c r="AM11" s="169" t="e">
        <f>'гориво_бр. деца'!AN11</f>
        <v>#REF!</v>
      </c>
      <c r="AN11" s="169" t="e">
        <f>'гориво_бр. деца'!AO11</f>
        <v>#REF!</v>
      </c>
      <c r="AO11" s="169" t="e">
        <f>'гориво_бр. деца'!AP11</f>
        <v>#REF!</v>
      </c>
      <c r="AP11" s="169" t="e">
        <f>'гориво_бр. деца'!AQ11</f>
        <v>#REF!</v>
      </c>
      <c r="AQ11" s="169" t="e">
        <f>'гориво_бр. деца'!AR11</f>
        <v>#REF!</v>
      </c>
      <c r="AR11" s="169" t="e">
        <f>'гориво_бр. деца'!AS11</f>
        <v>#REF!</v>
      </c>
      <c r="AS11" s="26">
        <f t="shared" si="9"/>
        <v>-1271.5325708138962</v>
      </c>
      <c r="AT11" s="27"/>
      <c r="AV11" s="9"/>
      <c r="AW11" s="28"/>
      <c r="AX11" s="29"/>
      <c r="AY11" s="15"/>
      <c r="AZ11" s="9"/>
      <c r="BA11" s="15"/>
    </row>
    <row r="12" spans="1:53" ht="22.5" customHeight="1" x14ac:dyDescent="0.2">
      <c r="A12" s="91">
        <v>3</v>
      </c>
      <c r="B12" s="129" t="s">
        <v>17</v>
      </c>
      <c r="C12" s="81">
        <v>559</v>
      </c>
      <c r="D12" s="82">
        <f t="shared" si="10"/>
        <v>900549</v>
      </c>
      <c r="E12" s="82">
        <v>29000</v>
      </c>
      <c r="F12" s="83">
        <f t="shared" si="0"/>
        <v>853255.96920583467</v>
      </c>
      <c r="G12" s="84">
        <f t="shared" si="11"/>
        <v>882255.96920583467</v>
      </c>
      <c r="H12" s="82">
        <f t="shared" si="12"/>
        <v>882255.96920583467</v>
      </c>
      <c r="I12" s="115">
        <f t="shared" si="13"/>
        <v>844723.40951377631</v>
      </c>
      <c r="J12" s="128">
        <f t="shared" si="14"/>
        <v>8532.5596920583466</v>
      </c>
      <c r="K12" s="128"/>
      <c r="L12" s="128"/>
      <c r="M12" s="128"/>
      <c r="N12" s="128">
        <f>C12*N8/1190</f>
        <v>5970.8848649029405</v>
      </c>
      <c r="O12" s="128">
        <f t="shared" si="15"/>
        <v>5970.8848649029405</v>
      </c>
      <c r="P12" s="128">
        <f t="shared" si="1"/>
        <v>850694.29437867925</v>
      </c>
      <c r="Q12" s="81">
        <v>15</v>
      </c>
      <c r="R12" s="82">
        <f t="shared" si="2"/>
        <v>5595</v>
      </c>
      <c r="S12" s="82"/>
      <c r="T12" s="82">
        <f t="shared" si="3"/>
        <v>0</v>
      </c>
      <c r="U12" s="81">
        <f t="shared" si="4"/>
        <v>559</v>
      </c>
      <c r="V12" s="82">
        <f t="shared" si="5"/>
        <v>13975</v>
      </c>
      <c r="W12" s="82">
        <v>1</v>
      </c>
      <c r="X12" s="82">
        <f t="shared" si="6"/>
        <v>862</v>
      </c>
      <c r="Y12" s="86">
        <v>97</v>
      </c>
      <c r="Z12" s="86">
        <f t="shared" si="7"/>
        <v>8439</v>
      </c>
      <c r="AA12" s="92">
        <v>283</v>
      </c>
      <c r="AB12" s="82">
        <f t="shared" ref="AB12:AB18" si="17">AA12*$AB$9</f>
        <v>20376</v>
      </c>
      <c r="AC12" s="82">
        <v>348</v>
      </c>
      <c r="AD12" s="89">
        <f t="shared" si="8"/>
        <v>201840</v>
      </c>
      <c r="AE12" s="180">
        <f t="shared" si="16"/>
        <v>1130781.2943786792</v>
      </c>
      <c r="AF12" s="173">
        <f>'гориво_бр. деца'!AG12</f>
        <v>36</v>
      </c>
      <c r="AG12" s="173">
        <f>'гориво_бр. деца'!AH12</f>
        <v>11736</v>
      </c>
      <c r="AH12" s="173" t="e">
        <f>'гориво_бр. деца'!AI12</f>
        <v>#REF!</v>
      </c>
      <c r="AI12" s="173" t="e">
        <f>'гориво_бр. деца'!AJ12</f>
        <v>#REF!</v>
      </c>
      <c r="AJ12" s="177" t="e">
        <f>'гориво_бр. деца'!AK12</f>
        <v>#REF!</v>
      </c>
      <c r="AK12" s="173" t="e">
        <f>'гориво_бр. деца'!AL12</f>
        <v>#REF!</v>
      </c>
      <c r="AL12" s="173" t="e">
        <f>'гориво_бр. деца'!AM12</f>
        <v>#REF!</v>
      </c>
      <c r="AM12" s="173" t="e">
        <f>'гориво_бр. деца'!AN12</f>
        <v>#REF!</v>
      </c>
      <c r="AN12" s="173" t="e">
        <f>'гориво_бр. деца'!AO12</f>
        <v>#REF!</v>
      </c>
      <c r="AO12" s="173" t="e">
        <f>'гориво_бр. деца'!AP12</f>
        <v>#REF!</v>
      </c>
      <c r="AP12" s="173" t="e">
        <f>'гориво_бр. деца'!AQ12</f>
        <v>#REF!</v>
      </c>
      <c r="AQ12" s="173" t="e">
        <f>'гориво_бр. деца'!AR12</f>
        <v>#REF!</v>
      </c>
      <c r="AR12" s="173" t="e">
        <f>'гориво_бр. деца'!AS12</f>
        <v>#REF!</v>
      </c>
      <c r="AS12" s="26">
        <f t="shared" si="9"/>
        <v>-2561.6748271554061</v>
      </c>
      <c r="AT12" s="27"/>
      <c r="AV12" s="9"/>
      <c r="AW12" s="28"/>
      <c r="AX12" s="29"/>
      <c r="AY12" s="15"/>
      <c r="AZ12" s="9"/>
      <c r="BA12" s="15"/>
    </row>
    <row r="13" spans="1:53" ht="22.5" customHeight="1" x14ac:dyDescent="0.2">
      <c r="A13" s="16">
        <v>4</v>
      </c>
      <c r="B13" s="130" t="s">
        <v>18</v>
      </c>
      <c r="C13" s="18">
        <v>428</v>
      </c>
      <c r="D13" s="19">
        <f t="shared" si="10"/>
        <v>689508</v>
      </c>
      <c r="E13" s="19">
        <v>29000</v>
      </c>
      <c r="F13" s="20">
        <f t="shared" si="0"/>
        <v>653297.95137763373</v>
      </c>
      <c r="G13" s="21">
        <f t="shared" si="11"/>
        <v>682297.95137763373</v>
      </c>
      <c r="H13" s="19">
        <f t="shared" si="12"/>
        <v>682297.95137763373</v>
      </c>
      <c r="I13" s="115">
        <f t="shared" si="13"/>
        <v>646764.97186385735</v>
      </c>
      <c r="J13" s="128">
        <f t="shared" si="14"/>
        <v>6532.9795137763376</v>
      </c>
      <c r="K13" s="128"/>
      <c r="L13" s="128"/>
      <c r="M13" s="128">
        <f>C13*M8/1288</f>
        <v>5224.7681188043471</v>
      </c>
      <c r="N13" s="128"/>
      <c r="O13" s="128">
        <f t="shared" si="15"/>
        <v>5224.7681188043471</v>
      </c>
      <c r="P13" s="128">
        <f t="shared" si="1"/>
        <v>651989.73998266167</v>
      </c>
      <c r="Q13" s="18"/>
      <c r="R13" s="19">
        <f t="shared" si="2"/>
        <v>0</v>
      </c>
      <c r="S13" s="19">
        <v>1</v>
      </c>
      <c r="T13" s="19">
        <f t="shared" si="3"/>
        <v>3070</v>
      </c>
      <c r="U13" s="18">
        <f t="shared" si="4"/>
        <v>428</v>
      </c>
      <c r="V13" s="19">
        <f t="shared" si="5"/>
        <v>10700</v>
      </c>
      <c r="W13" s="19"/>
      <c r="X13" s="19">
        <f t="shared" si="6"/>
        <v>0</v>
      </c>
      <c r="Y13" s="23"/>
      <c r="Z13" s="23">
        <f t="shared" si="7"/>
        <v>0</v>
      </c>
      <c r="AA13" s="31">
        <v>229</v>
      </c>
      <c r="AB13" s="19">
        <f t="shared" si="17"/>
        <v>16488</v>
      </c>
      <c r="AC13" s="19">
        <v>246</v>
      </c>
      <c r="AD13" s="77">
        <f t="shared" si="8"/>
        <v>142680</v>
      </c>
      <c r="AE13" s="180">
        <f t="shared" si="16"/>
        <v>853927.73998266167</v>
      </c>
      <c r="AF13" s="169">
        <f>'гориво_бр. деца'!AG13</f>
        <v>15</v>
      </c>
      <c r="AG13" s="169">
        <f>'гориво_бр. деца'!AH13</f>
        <v>4890</v>
      </c>
      <c r="AH13" s="169" t="e">
        <f>'гориво_бр. деца'!AI13</f>
        <v>#REF!</v>
      </c>
      <c r="AI13" s="169" t="e">
        <f>'гориво_бр. деца'!AJ13</f>
        <v>#REF!</v>
      </c>
      <c r="AJ13" s="177" t="e">
        <f>'гориво_бр. деца'!AK13</f>
        <v>#REF!</v>
      </c>
      <c r="AK13" s="169" t="e">
        <f>'гориво_бр. деца'!AL13</f>
        <v>#REF!</v>
      </c>
      <c r="AL13" s="169" t="e">
        <f>'гориво_бр. деца'!AM13</f>
        <v>#REF!</v>
      </c>
      <c r="AM13" s="169" t="e">
        <f>'гориво_бр. деца'!AN13</f>
        <v>#REF!</v>
      </c>
      <c r="AN13" s="169" t="e">
        <f>'гориво_бр. деца'!AO13</f>
        <v>#REF!</v>
      </c>
      <c r="AO13" s="169" t="e">
        <f>'гориво_бр. деца'!AP13</f>
        <v>#REF!</v>
      </c>
      <c r="AP13" s="169" t="e">
        <f>'гориво_бр. деца'!AQ13</f>
        <v>#REF!</v>
      </c>
      <c r="AQ13" s="169" t="e">
        <f>'гориво_бр. деца'!AR13</f>
        <v>#REF!</v>
      </c>
      <c r="AR13" s="169" t="e">
        <f>'гориво_бр. деца'!AS13</f>
        <v>#REF!</v>
      </c>
      <c r="AS13" s="26">
        <f t="shared" si="9"/>
        <v>-1308.2113949719906</v>
      </c>
      <c r="AT13" s="27"/>
      <c r="AV13" s="15"/>
      <c r="AW13" s="15"/>
      <c r="AX13" s="29"/>
      <c r="AY13" s="15"/>
      <c r="AZ13" s="15"/>
      <c r="BA13" s="15"/>
    </row>
    <row r="14" spans="1:53" ht="24" customHeight="1" x14ac:dyDescent="0.2">
      <c r="A14" s="79">
        <v>5</v>
      </c>
      <c r="B14" s="131" t="s">
        <v>19</v>
      </c>
      <c r="C14" s="86">
        <v>444</v>
      </c>
      <c r="D14" s="82">
        <f t="shared" si="10"/>
        <v>715284</v>
      </c>
      <c r="E14" s="82">
        <v>29000</v>
      </c>
      <c r="F14" s="83">
        <f t="shared" si="0"/>
        <v>677720.30470016203</v>
      </c>
      <c r="G14" s="83">
        <f t="shared" si="11"/>
        <v>706720.30470016203</v>
      </c>
      <c r="H14" s="82">
        <f t="shared" si="12"/>
        <v>706720.30470016203</v>
      </c>
      <c r="I14" s="115">
        <f t="shared" si="13"/>
        <v>670943.10165316041</v>
      </c>
      <c r="J14" s="128">
        <f t="shared" si="14"/>
        <v>6777.2030470016207</v>
      </c>
      <c r="K14" s="128"/>
      <c r="L14" s="128"/>
      <c r="M14" s="128">
        <f>C14*M8/1288</f>
        <v>5420.0865531521731</v>
      </c>
      <c r="N14" s="128"/>
      <c r="O14" s="128">
        <f t="shared" si="15"/>
        <v>5420.0865531521731</v>
      </c>
      <c r="P14" s="128">
        <f t="shared" si="1"/>
        <v>676363.1882063126</v>
      </c>
      <c r="Q14" s="86"/>
      <c r="R14" s="87">
        <f t="shared" si="2"/>
        <v>0</v>
      </c>
      <c r="S14" s="87"/>
      <c r="T14" s="82">
        <f t="shared" si="3"/>
        <v>0</v>
      </c>
      <c r="U14" s="86">
        <f t="shared" si="4"/>
        <v>444</v>
      </c>
      <c r="V14" s="87">
        <f t="shared" si="5"/>
        <v>11100</v>
      </c>
      <c r="W14" s="87">
        <v>3</v>
      </c>
      <c r="X14" s="82">
        <f t="shared" si="6"/>
        <v>2586</v>
      </c>
      <c r="Y14" s="94"/>
      <c r="Z14" s="86">
        <f t="shared" si="7"/>
        <v>0</v>
      </c>
      <c r="AA14" s="92">
        <v>258</v>
      </c>
      <c r="AB14" s="87">
        <f t="shared" si="17"/>
        <v>18576</v>
      </c>
      <c r="AC14" s="87">
        <v>335</v>
      </c>
      <c r="AD14" s="89">
        <f t="shared" si="8"/>
        <v>194300</v>
      </c>
      <c r="AE14" s="180">
        <f t="shared" si="16"/>
        <v>931925.1882063126</v>
      </c>
      <c r="AF14" s="173">
        <f>'гориво_бр. деца'!AG14</f>
        <v>28</v>
      </c>
      <c r="AG14" s="173">
        <f>'гориво_бр. деца'!AH14</f>
        <v>9128</v>
      </c>
      <c r="AH14" s="173" t="e">
        <f>'гориво_бр. деца'!AI14</f>
        <v>#REF!</v>
      </c>
      <c r="AI14" s="173" t="e">
        <f>'гориво_бр. деца'!AJ14</f>
        <v>#REF!</v>
      </c>
      <c r="AJ14" s="177" t="e">
        <f>'гориво_бр. деца'!AK14</f>
        <v>#REF!</v>
      </c>
      <c r="AK14" s="173" t="e">
        <f>'гориво_бр. деца'!AL14</f>
        <v>#REF!</v>
      </c>
      <c r="AL14" s="173" t="e">
        <f>'гориво_бр. деца'!AM14</f>
        <v>#REF!</v>
      </c>
      <c r="AM14" s="173" t="e">
        <f>'гориво_бр. деца'!AN14</f>
        <v>#REF!</v>
      </c>
      <c r="AN14" s="173" t="e">
        <f>'гориво_бр. деца'!AO14</f>
        <v>#REF!</v>
      </c>
      <c r="AO14" s="173" t="e">
        <f>'гориво_бр. деца'!AP14</f>
        <v>#REF!</v>
      </c>
      <c r="AP14" s="173" t="e">
        <f>'гориво_бр. деца'!AQ14</f>
        <v>#REF!</v>
      </c>
      <c r="AQ14" s="173" t="e">
        <f>'гориво_бр. деца'!AR14</f>
        <v>#REF!</v>
      </c>
      <c r="AR14" s="173" t="e">
        <f>'гориво_бр. деца'!AS14</f>
        <v>#REF!</v>
      </c>
      <c r="AS14" s="26">
        <f t="shared" si="9"/>
        <v>-1357.1164938494476</v>
      </c>
      <c r="AT14" s="27"/>
      <c r="AV14" s="9"/>
      <c r="AW14" s="9"/>
      <c r="AX14" s="9"/>
      <c r="AY14" s="15"/>
      <c r="AZ14" s="9"/>
      <c r="BA14" s="9"/>
    </row>
    <row r="15" spans="1:53" ht="25.5" customHeight="1" x14ac:dyDescent="0.2">
      <c r="A15" s="30">
        <v>6</v>
      </c>
      <c r="B15" s="130" t="s">
        <v>20</v>
      </c>
      <c r="C15" s="18">
        <v>631</v>
      </c>
      <c r="D15" s="19">
        <f t="shared" si="10"/>
        <v>1016541</v>
      </c>
      <c r="E15" s="19">
        <v>29000</v>
      </c>
      <c r="F15" s="20">
        <f t="shared" si="0"/>
        <v>963156.55915721226</v>
      </c>
      <c r="G15" s="21">
        <f t="shared" si="11"/>
        <v>992156.55915721226</v>
      </c>
      <c r="H15" s="19">
        <f t="shared" si="12"/>
        <v>992156.55915721226</v>
      </c>
      <c r="I15" s="115">
        <f t="shared" si="13"/>
        <v>953524.99356564018</v>
      </c>
      <c r="J15" s="128">
        <f t="shared" si="14"/>
        <v>9631.5655915721236</v>
      </c>
      <c r="K15" s="128"/>
      <c r="L15" s="128"/>
      <c r="M15" s="128"/>
      <c r="N15" s="128">
        <f>C15*N8/1190</f>
        <v>6739.9433805970584</v>
      </c>
      <c r="O15" s="128">
        <f t="shared" si="15"/>
        <v>6739.9433805970584</v>
      </c>
      <c r="P15" s="128">
        <f t="shared" si="1"/>
        <v>960264.93694623723</v>
      </c>
      <c r="Q15" s="18"/>
      <c r="R15" s="19">
        <f t="shared" si="2"/>
        <v>0</v>
      </c>
      <c r="S15" s="19"/>
      <c r="T15" s="19">
        <f t="shared" si="3"/>
        <v>0</v>
      </c>
      <c r="U15" s="18">
        <f t="shared" si="4"/>
        <v>631</v>
      </c>
      <c r="V15" s="19">
        <f t="shared" si="5"/>
        <v>15775</v>
      </c>
      <c r="W15" s="19"/>
      <c r="X15" s="19">
        <f t="shared" si="6"/>
        <v>0</v>
      </c>
      <c r="Y15" s="32"/>
      <c r="Z15" s="23">
        <f t="shared" si="7"/>
        <v>0</v>
      </c>
      <c r="AA15" s="31">
        <v>414</v>
      </c>
      <c r="AB15" s="19">
        <f t="shared" si="17"/>
        <v>29808</v>
      </c>
      <c r="AC15" s="19">
        <v>505</v>
      </c>
      <c r="AD15" s="77">
        <f t="shared" si="8"/>
        <v>292900</v>
      </c>
      <c r="AE15" s="180">
        <f t="shared" si="16"/>
        <v>1327747.9369462372</v>
      </c>
      <c r="AF15" s="169">
        <f>'гориво_бр. деца'!AG15</f>
        <v>25</v>
      </c>
      <c r="AG15" s="169">
        <f>'гориво_бр. деца'!AH15</f>
        <v>8150</v>
      </c>
      <c r="AH15" s="169" t="e">
        <f>'гориво_бр. деца'!AI15</f>
        <v>#REF!</v>
      </c>
      <c r="AI15" s="169" t="e">
        <f>'гориво_бр. деца'!AJ15</f>
        <v>#REF!</v>
      </c>
      <c r="AJ15" s="177" t="e">
        <f>'гориво_бр. деца'!AK15</f>
        <v>#REF!</v>
      </c>
      <c r="AK15" s="169" t="e">
        <f>'гориво_бр. деца'!AL15</f>
        <v>#REF!</v>
      </c>
      <c r="AL15" s="169" t="e">
        <f>'гориво_бр. деца'!AM15</f>
        <v>#REF!</v>
      </c>
      <c r="AM15" s="169" t="e">
        <f>'гориво_бр. деца'!AN15</f>
        <v>#REF!</v>
      </c>
      <c r="AN15" s="169" t="e">
        <f>'гориво_бр. деца'!AO15</f>
        <v>#REF!</v>
      </c>
      <c r="AO15" s="169" t="e">
        <f>'гориво_бр. деца'!AP15</f>
        <v>#REF!</v>
      </c>
      <c r="AP15" s="169" t="e">
        <f>'гориво_бр. деца'!AQ15</f>
        <v>#REF!</v>
      </c>
      <c r="AQ15" s="169" t="e">
        <f>'гориво_бр. деца'!AR15</f>
        <v>#REF!</v>
      </c>
      <c r="AR15" s="169" t="e">
        <f>'гориво_бр. деца'!AS15</f>
        <v>#REF!</v>
      </c>
      <c r="AS15" s="26">
        <f t="shared" si="9"/>
        <v>-2891.6222109750652</v>
      </c>
      <c r="AT15" s="27"/>
      <c r="AV15" s="9"/>
      <c r="AW15" s="9"/>
      <c r="AX15" s="9"/>
      <c r="AY15" s="15"/>
      <c r="AZ15" s="9"/>
      <c r="BA15" s="9"/>
    </row>
    <row r="16" spans="1:53" ht="34.5" customHeight="1" x14ac:dyDescent="0.2">
      <c r="A16" s="79">
        <v>7</v>
      </c>
      <c r="B16" s="129" t="s">
        <v>21</v>
      </c>
      <c r="C16" s="81">
        <v>92</v>
      </c>
      <c r="D16" s="82">
        <f t="shared" si="10"/>
        <v>148212</v>
      </c>
      <c r="E16" s="82">
        <v>29000</v>
      </c>
      <c r="F16" s="83">
        <f t="shared" si="0"/>
        <v>140428.53160453809</v>
      </c>
      <c r="G16" s="84">
        <f t="shared" si="11"/>
        <v>169428.53160453809</v>
      </c>
      <c r="H16" s="82">
        <f t="shared" si="12"/>
        <v>169428.53160453809</v>
      </c>
      <c r="I16" s="115">
        <f t="shared" si="13"/>
        <v>139024.24628849272</v>
      </c>
      <c r="J16" s="128">
        <f t="shared" si="14"/>
        <v>1404.285316045381</v>
      </c>
      <c r="K16" s="128">
        <f>C16*K8/287</f>
        <v>3893.7149846341463</v>
      </c>
      <c r="L16" s="128"/>
      <c r="M16" s="128"/>
      <c r="N16" s="128"/>
      <c r="O16" s="128">
        <f t="shared" si="15"/>
        <v>3893.7149846341463</v>
      </c>
      <c r="P16" s="128">
        <f t="shared" si="1"/>
        <v>142917.96127312686</v>
      </c>
      <c r="Q16" s="81">
        <v>26</v>
      </c>
      <c r="R16" s="82">
        <f t="shared" si="2"/>
        <v>9698</v>
      </c>
      <c r="S16" s="85"/>
      <c r="T16" s="82">
        <f t="shared" si="3"/>
        <v>0</v>
      </c>
      <c r="U16" s="81">
        <f t="shared" si="4"/>
        <v>92</v>
      </c>
      <c r="V16" s="82">
        <f t="shared" si="5"/>
        <v>2300</v>
      </c>
      <c r="W16" s="82"/>
      <c r="X16" s="82">
        <f t="shared" si="6"/>
        <v>0</v>
      </c>
      <c r="Y16" s="94"/>
      <c r="Z16" s="86">
        <f t="shared" si="7"/>
        <v>0</v>
      </c>
      <c r="AA16" s="95">
        <v>48</v>
      </c>
      <c r="AB16" s="82">
        <f t="shared" si="17"/>
        <v>3456</v>
      </c>
      <c r="AC16" s="82">
        <v>52</v>
      </c>
      <c r="AD16" s="89">
        <f t="shared" si="8"/>
        <v>30160</v>
      </c>
      <c r="AE16" s="180">
        <f t="shared" si="16"/>
        <v>217531.96127312686</v>
      </c>
      <c r="AF16" s="173">
        <f>'гориво_бр. деца'!AG16</f>
        <v>10</v>
      </c>
      <c r="AG16" s="173">
        <f>'гориво_бр. деца'!AH16</f>
        <v>3260</v>
      </c>
      <c r="AH16" s="173" t="e">
        <f>'гориво_бр. деца'!AI16</f>
        <v>#REF!</v>
      </c>
      <c r="AI16" s="173" t="e">
        <f>'гориво_бр. деца'!AJ16</f>
        <v>#REF!</v>
      </c>
      <c r="AJ16" s="177" t="e">
        <f>'гориво_бр. деца'!AK16</f>
        <v>#REF!</v>
      </c>
      <c r="AK16" s="173" t="e">
        <f>'гориво_бр. деца'!AL16</f>
        <v>#REF!</v>
      </c>
      <c r="AL16" s="173" t="e">
        <f>'гориво_бр. деца'!AM16</f>
        <v>#REF!</v>
      </c>
      <c r="AM16" s="173" t="e">
        <f>'гориво_бр. деца'!AN16</f>
        <v>#REF!</v>
      </c>
      <c r="AN16" s="173" t="e">
        <f>'гориво_бр. деца'!AO16</f>
        <v>#REF!</v>
      </c>
      <c r="AO16" s="173" t="e">
        <f>'гориво_бр. деца'!AP16</f>
        <v>#REF!</v>
      </c>
      <c r="AP16" s="173" t="e">
        <f>'гориво_бр. деца'!AQ16</f>
        <v>#REF!</v>
      </c>
      <c r="AQ16" s="173" t="e">
        <f>'гориво_бр. деца'!AR16</f>
        <v>#REF!</v>
      </c>
      <c r="AR16" s="173" t="e">
        <f>'гориво_бр. деца'!AS16</f>
        <v>#REF!</v>
      </c>
      <c r="AS16" s="26">
        <f t="shared" si="9"/>
        <v>2489.4296685887653</v>
      </c>
      <c r="AT16" s="27"/>
    </row>
    <row r="17" spans="1:47" ht="27" customHeight="1" x14ac:dyDescent="0.2">
      <c r="A17" s="16">
        <v>8</v>
      </c>
      <c r="B17" s="130" t="s">
        <v>22</v>
      </c>
      <c r="C17" s="18">
        <v>146</v>
      </c>
      <c r="D17" s="19">
        <f t="shared" si="10"/>
        <v>235206</v>
      </c>
      <c r="E17" s="19">
        <v>29000</v>
      </c>
      <c r="F17" s="20">
        <f t="shared" si="0"/>
        <v>222853.97406807131</v>
      </c>
      <c r="G17" s="21">
        <f t="shared" si="11"/>
        <v>251853.97406807131</v>
      </c>
      <c r="H17" s="19">
        <f t="shared" si="12"/>
        <v>251853.97406807131</v>
      </c>
      <c r="I17" s="115">
        <f t="shared" si="13"/>
        <v>220625.4343273906</v>
      </c>
      <c r="J17" s="128">
        <f t="shared" si="14"/>
        <v>2228.5397406807133</v>
      </c>
      <c r="K17" s="128">
        <f>C17*K8/287</f>
        <v>6179.1563886585373</v>
      </c>
      <c r="L17" s="128"/>
      <c r="M17" s="128"/>
      <c r="N17" s="128"/>
      <c r="O17" s="128">
        <f t="shared" si="15"/>
        <v>6179.1563886585373</v>
      </c>
      <c r="P17" s="128">
        <f t="shared" si="1"/>
        <v>226804.59071604913</v>
      </c>
      <c r="Q17" s="18">
        <v>15</v>
      </c>
      <c r="R17" s="19">
        <f t="shared" si="2"/>
        <v>5595</v>
      </c>
      <c r="S17" s="22"/>
      <c r="T17" s="19">
        <f t="shared" si="3"/>
        <v>0</v>
      </c>
      <c r="U17" s="18">
        <f t="shared" si="4"/>
        <v>146</v>
      </c>
      <c r="V17" s="19">
        <f t="shared" si="5"/>
        <v>3650</v>
      </c>
      <c r="W17" s="19"/>
      <c r="X17" s="19">
        <f t="shared" si="6"/>
        <v>0</v>
      </c>
      <c r="Y17" s="23"/>
      <c r="Z17" s="23">
        <f t="shared" si="7"/>
        <v>0</v>
      </c>
      <c r="AA17" s="31">
        <v>66</v>
      </c>
      <c r="AB17" s="19">
        <f t="shared" si="17"/>
        <v>4752</v>
      </c>
      <c r="AC17" s="19">
        <v>146</v>
      </c>
      <c r="AD17" s="77">
        <f t="shared" si="8"/>
        <v>84680</v>
      </c>
      <c r="AE17" s="180">
        <f t="shared" si="16"/>
        <v>354481.59071604913</v>
      </c>
      <c r="AF17" s="169">
        <f>'гориво_бр. деца'!AG17</f>
        <v>0</v>
      </c>
      <c r="AG17" s="169">
        <f>'гориво_бр. деца'!AH17</f>
        <v>0</v>
      </c>
      <c r="AH17" s="169" t="e">
        <f>'гориво_бр. деца'!AI17</f>
        <v>#REF!</v>
      </c>
      <c r="AI17" s="169" t="e">
        <f>'гориво_бр. деца'!AJ17</f>
        <v>#REF!</v>
      </c>
      <c r="AJ17" s="177" t="e">
        <f>'гориво_бр. деца'!AK17</f>
        <v>#REF!</v>
      </c>
      <c r="AK17" s="169" t="e">
        <f>'гориво_бр. деца'!AL17</f>
        <v>#REF!</v>
      </c>
      <c r="AL17" s="169" t="e">
        <f>'гориво_бр. деца'!AM17</f>
        <v>#REF!</v>
      </c>
      <c r="AM17" s="169" t="e">
        <f>'гориво_бр. деца'!AN17</f>
        <v>#REF!</v>
      </c>
      <c r="AN17" s="169" t="e">
        <f>'гориво_бр. деца'!AO17</f>
        <v>#REF!</v>
      </c>
      <c r="AO17" s="169" t="e">
        <f>'гориво_бр. деца'!AP17</f>
        <v>#REF!</v>
      </c>
      <c r="AP17" s="169" t="e">
        <f>'гориво_бр. деца'!AQ17</f>
        <v>#REF!</v>
      </c>
      <c r="AQ17" s="169" t="e">
        <f>'гориво_бр. деца'!AR17</f>
        <v>#REF!</v>
      </c>
      <c r="AR17" s="169" t="e">
        <f>'гориво_бр. деца'!AS17</f>
        <v>#REF!</v>
      </c>
      <c r="AS17" s="26">
        <f t="shared" si="9"/>
        <v>3950.616647977824</v>
      </c>
      <c r="AT17" s="27"/>
    </row>
    <row r="18" spans="1:47" ht="25.5" customHeight="1" x14ac:dyDescent="0.2">
      <c r="A18" s="91">
        <v>9</v>
      </c>
      <c r="B18" s="129" t="s">
        <v>23</v>
      </c>
      <c r="C18" s="81">
        <v>49</v>
      </c>
      <c r="D18" s="82">
        <f t="shared" si="10"/>
        <v>78939</v>
      </c>
      <c r="E18" s="82">
        <v>29000</v>
      </c>
      <c r="F18" s="83">
        <f t="shared" si="0"/>
        <v>74793.457050243116</v>
      </c>
      <c r="G18" s="84">
        <f t="shared" si="11"/>
        <v>103793.45705024312</v>
      </c>
      <c r="H18" s="82">
        <f t="shared" si="12"/>
        <v>103793.45705024312</v>
      </c>
      <c r="I18" s="115">
        <f t="shared" si="13"/>
        <v>74045.522479740685</v>
      </c>
      <c r="J18" s="128">
        <f t="shared" si="14"/>
        <v>747.93457050243114</v>
      </c>
      <c r="K18" s="128">
        <f>C18*K8/287</f>
        <v>2073.8264592073169</v>
      </c>
      <c r="L18" s="128"/>
      <c r="M18" s="128"/>
      <c r="N18" s="128"/>
      <c r="O18" s="128">
        <f t="shared" si="15"/>
        <v>2073.8264592073169</v>
      </c>
      <c r="P18" s="128">
        <f t="shared" si="1"/>
        <v>76119.348938947995</v>
      </c>
      <c r="Q18" s="81">
        <v>11</v>
      </c>
      <c r="R18" s="82">
        <f t="shared" si="2"/>
        <v>4103</v>
      </c>
      <c r="S18" s="85"/>
      <c r="T18" s="82">
        <f t="shared" si="3"/>
        <v>0</v>
      </c>
      <c r="U18" s="81">
        <f t="shared" si="4"/>
        <v>49</v>
      </c>
      <c r="V18" s="82">
        <f t="shared" si="5"/>
        <v>1225</v>
      </c>
      <c r="W18" s="82"/>
      <c r="X18" s="82">
        <f t="shared" si="6"/>
        <v>0</v>
      </c>
      <c r="Y18" s="86"/>
      <c r="Z18" s="86">
        <f t="shared" si="7"/>
        <v>0</v>
      </c>
      <c r="AA18" s="92">
        <v>25</v>
      </c>
      <c r="AB18" s="82">
        <f t="shared" si="17"/>
        <v>1800</v>
      </c>
      <c r="AC18" s="82">
        <v>43</v>
      </c>
      <c r="AD18" s="89">
        <f t="shared" si="8"/>
        <v>24940</v>
      </c>
      <c r="AE18" s="180">
        <f t="shared" si="16"/>
        <v>137187.34893894801</v>
      </c>
      <c r="AF18" s="173">
        <f>'гориво_бр. деца'!AG18</f>
        <v>9</v>
      </c>
      <c r="AG18" s="173">
        <f>'гориво_бр. деца'!AH18</f>
        <v>2934</v>
      </c>
      <c r="AH18" s="173" t="e">
        <f>'гориво_бр. деца'!AI18</f>
        <v>#REF!</v>
      </c>
      <c r="AI18" s="173" t="e">
        <f>'гориво_бр. деца'!AJ18</f>
        <v>#REF!</v>
      </c>
      <c r="AJ18" s="177" t="e">
        <f>'гориво_бр. деца'!AK18</f>
        <v>#REF!</v>
      </c>
      <c r="AK18" s="173" t="e">
        <f>'гориво_бр. деца'!AL18</f>
        <v>#REF!</v>
      </c>
      <c r="AL18" s="173" t="e">
        <f>'гориво_бр. деца'!AM18</f>
        <v>#REF!</v>
      </c>
      <c r="AM18" s="173" t="e">
        <f>'гориво_бр. деца'!AN18</f>
        <v>#REF!</v>
      </c>
      <c r="AN18" s="173" t="e">
        <f>'гориво_бр. деца'!AO18</f>
        <v>#REF!</v>
      </c>
      <c r="AO18" s="173" t="e">
        <f>'гориво_бр. деца'!AP18</f>
        <v>#REF!</v>
      </c>
      <c r="AP18" s="173" t="e">
        <f>'гориво_бр. деца'!AQ18</f>
        <v>#REF!</v>
      </c>
      <c r="AQ18" s="173" t="e">
        <f>'гориво_бр. деца'!AR18</f>
        <v>#REF!</v>
      </c>
      <c r="AR18" s="173" t="e">
        <f>'гориво_бр. деца'!AS18</f>
        <v>#REF!</v>
      </c>
      <c r="AS18" s="26">
        <f t="shared" si="9"/>
        <v>1325.8918887048858</v>
      </c>
      <c r="AT18" s="27"/>
    </row>
    <row r="19" spans="1:47" ht="18" customHeight="1" x14ac:dyDescent="0.2">
      <c r="A19" s="272" t="s">
        <v>24</v>
      </c>
      <c r="B19" s="273"/>
      <c r="C19" s="96">
        <f t="shared" ref="C19:H19" si="18">SUM(C10:C18)</f>
        <v>3085</v>
      </c>
      <c r="D19" s="97">
        <f t="shared" si="18"/>
        <v>4969935</v>
      </c>
      <c r="E19" s="97">
        <f>SUM(E10:E18)</f>
        <v>261000</v>
      </c>
      <c r="F19" s="98">
        <f t="shared" si="18"/>
        <v>4708935</v>
      </c>
      <c r="G19" s="99">
        <f t="shared" si="18"/>
        <v>4969935</v>
      </c>
      <c r="H19" s="97">
        <f t="shared" si="18"/>
        <v>4969935</v>
      </c>
      <c r="I19" s="97">
        <f t="shared" ref="I19:N19" si="19">SUM(I10:I18)</f>
        <v>4661845.6500000004</v>
      </c>
      <c r="J19" s="97">
        <f t="shared" si="19"/>
        <v>47089.349999999991</v>
      </c>
      <c r="K19" s="97">
        <f t="shared" si="19"/>
        <v>12146.697832500002</v>
      </c>
      <c r="L19" s="97">
        <f t="shared" si="19"/>
        <v>6505.3937024999996</v>
      </c>
      <c r="M19" s="97">
        <f>SUM(M10:M18)</f>
        <v>15723.133964999997</v>
      </c>
      <c r="N19" s="97">
        <f t="shared" si="19"/>
        <v>12710.828245499999</v>
      </c>
      <c r="O19" s="97">
        <f>SUM(O10:O18)</f>
        <v>47086.053745499994</v>
      </c>
      <c r="P19" s="97">
        <f t="shared" si="1"/>
        <v>4708931.7037455002</v>
      </c>
      <c r="Q19" s="96">
        <f>SUM(Q10:Q18)</f>
        <v>73</v>
      </c>
      <c r="R19" s="97">
        <f t="shared" ref="R19:AD19" si="20">SUM(R10:R18)</f>
        <v>27229</v>
      </c>
      <c r="S19" s="96">
        <f t="shared" si="20"/>
        <v>2</v>
      </c>
      <c r="T19" s="96">
        <f t="shared" si="20"/>
        <v>6140</v>
      </c>
      <c r="U19" s="97">
        <f t="shared" si="20"/>
        <v>3085</v>
      </c>
      <c r="V19" s="97">
        <f>SUM(V10:V18)</f>
        <v>77125</v>
      </c>
      <c r="W19" s="97">
        <f>SUM(W10:W18)</f>
        <v>4</v>
      </c>
      <c r="X19" s="97">
        <f>SUM(X10:X18)</f>
        <v>3448</v>
      </c>
      <c r="Y19" s="100">
        <f>SUM(Y10:Y18)</f>
        <v>525</v>
      </c>
      <c r="Z19" s="100">
        <f t="shared" si="20"/>
        <v>45675</v>
      </c>
      <c r="AA19" s="100">
        <f t="shared" si="20"/>
        <v>1323</v>
      </c>
      <c r="AB19" s="97">
        <f t="shared" si="20"/>
        <v>95256</v>
      </c>
      <c r="AC19" s="97">
        <f t="shared" si="20"/>
        <v>1675</v>
      </c>
      <c r="AD19" s="101">
        <f t="shared" si="20"/>
        <v>971500</v>
      </c>
      <c r="AE19" s="180">
        <f>P19+E19+R19+T19+V19+Z19+AB19+AD19+X19</f>
        <v>6196304.7037455002</v>
      </c>
      <c r="AF19" s="174">
        <f>'гориво_бр. деца'!AG19</f>
        <v>124</v>
      </c>
      <c r="AG19" s="174">
        <f>'гориво_бр. деца'!AH19</f>
        <v>40424</v>
      </c>
      <c r="AH19" s="174" t="e">
        <f>'гориво_бр. деца'!AI19</f>
        <v>#REF!</v>
      </c>
      <c r="AI19" s="174" t="e">
        <f>'гориво_бр. деца'!AJ19</f>
        <v>#REF!</v>
      </c>
      <c r="AJ19" s="178" t="e">
        <f>'гориво_бр. деца'!AK19</f>
        <v>#REF!</v>
      </c>
      <c r="AK19" s="174" t="e">
        <f>'гориво_бр. деца'!AL19</f>
        <v>#REF!</v>
      </c>
      <c r="AL19" s="174" t="e">
        <f>'гориво_бр. деца'!AM19</f>
        <v>#REF!</v>
      </c>
      <c r="AM19" s="174" t="e">
        <f>'гориво_бр. деца'!AN19</f>
        <v>#REF!</v>
      </c>
      <c r="AN19" s="174" t="e">
        <f>'гориво_бр. деца'!AO19</f>
        <v>#REF!</v>
      </c>
      <c r="AO19" s="174" t="e">
        <f>'гориво_бр. деца'!AP19</f>
        <v>#REF!</v>
      </c>
      <c r="AP19" s="174" t="e">
        <f>'гориво_бр. деца'!AQ19</f>
        <v>#REF!</v>
      </c>
      <c r="AQ19" s="174" t="e">
        <f>'гориво_бр. деца'!AR19</f>
        <v>#REF!</v>
      </c>
      <c r="AR19" s="174" t="e">
        <f>'гориво_бр. деца'!AS19</f>
        <v>#REF!</v>
      </c>
      <c r="AS19" s="26">
        <f t="shared" si="9"/>
        <v>-3.2962544999973034</v>
      </c>
      <c r="AT19" s="27"/>
      <c r="AU19" s="113" t="e">
        <f>SUM(AE19,AJ19)</f>
        <v>#REF!</v>
      </c>
    </row>
    <row r="20" spans="1:47" ht="16.5" customHeight="1" x14ac:dyDescent="0.2">
      <c r="A20" s="33">
        <v>10</v>
      </c>
      <c r="B20" s="34" t="s">
        <v>25</v>
      </c>
      <c r="C20" s="35">
        <v>71</v>
      </c>
      <c r="D20" s="19">
        <f t="shared" si="10"/>
        <v>114381</v>
      </c>
      <c r="E20" s="35"/>
      <c r="F20" s="35"/>
      <c r="G20" s="35"/>
      <c r="H20" s="35">
        <f>C20*D9</f>
        <v>114381</v>
      </c>
      <c r="I20" s="35"/>
      <c r="J20" s="35"/>
      <c r="K20" s="35"/>
      <c r="L20" s="35"/>
      <c r="M20" s="35"/>
      <c r="N20" s="35"/>
      <c r="O20" s="35"/>
      <c r="P20" s="35"/>
      <c r="Q20" s="35">
        <v>25</v>
      </c>
      <c r="R20" s="19">
        <f>Q20*$R$9</f>
        <v>9325</v>
      </c>
      <c r="S20" s="35">
        <v>-1</v>
      </c>
      <c r="T20" s="19">
        <f>S20*$T$9</f>
        <v>-3070</v>
      </c>
      <c r="U20" s="35">
        <v>71</v>
      </c>
      <c r="V20" s="19">
        <f>U20*$V$9</f>
        <v>1775</v>
      </c>
      <c r="W20" s="35">
        <v>1</v>
      </c>
      <c r="X20" s="19">
        <f>W20*$X$9</f>
        <v>862</v>
      </c>
      <c r="Y20" s="35">
        <v>-61</v>
      </c>
      <c r="Z20" s="23">
        <f>Y20*$Z$9</f>
        <v>-5307</v>
      </c>
      <c r="AA20" s="35">
        <v>-2</v>
      </c>
      <c r="AB20" s="19">
        <f>AA20*$AB$9</f>
        <v>-144</v>
      </c>
      <c r="AC20" s="35">
        <v>16</v>
      </c>
      <c r="AD20" s="77">
        <f>AC20*$AD$9</f>
        <v>9280</v>
      </c>
      <c r="AE20" s="180">
        <f t="shared" si="16"/>
        <v>12721</v>
      </c>
      <c r="AF20" s="163">
        <f>'гориво_бр. деца'!AG20</f>
        <v>3</v>
      </c>
      <c r="AG20" s="163">
        <f>'гориво_бр. деца'!AH20</f>
        <v>978</v>
      </c>
      <c r="AH20" s="163" t="e">
        <f>'гориво_бр. деца'!AI20</f>
        <v>#REF!</v>
      </c>
      <c r="AI20" s="163" t="e">
        <f>'гориво_бр. деца'!AJ20</f>
        <v>#REF!</v>
      </c>
      <c r="AJ20" s="177" t="e">
        <f>'гориво_бр. деца'!AK20</f>
        <v>#REF!</v>
      </c>
      <c r="AK20" s="163" t="e">
        <f>'гориво_бр. деца'!AL20</f>
        <v>#REF!</v>
      </c>
      <c r="AL20" s="163" t="e">
        <f>'гориво_бр. деца'!AM20</f>
        <v>#REF!</v>
      </c>
      <c r="AM20" s="163" t="e">
        <f>'гориво_бр. деца'!AN20</f>
        <v>#REF!</v>
      </c>
      <c r="AN20" s="163" t="e">
        <f>'гориво_бр. деца'!AO20</f>
        <v>#REF!</v>
      </c>
      <c r="AO20" s="163" t="e">
        <f>'гориво_бр. деца'!AP20</f>
        <v>#REF!</v>
      </c>
      <c r="AP20" s="163" t="e">
        <f>'гориво_бр. деца'!AQ20</f>
        <v>#REF!</v>
      </c>
      <c r="AQ20" s="163" t="e">
        <f>'гориво_бр. деца'!AR20</f>
        <v>#REF!</v>
      </c>
      <c r="AR20" s="163" t="e">
        <f>'гориво_бр. деца'!AS20</f>
        <v>#REF!</v>
      </c>
      <c r="AS20" s="26"/>
      <c r="AT20" s="36"/>
      <c r="AU20" s="113" t="e">
        <f>SUM(AE20,AJ20)</f>
        <v>#REF!</v>
      </c>
    </row>
    <row r="21" spans="1:47" ht="20.25" customHeight="1" thickBot="1" x14ac:dyDescent="0.25">
      <c r="A21" s="37"/>
      <c r="B21" s="38" t="s">
        <v>26</v>
      </c>
      <c r="C21" s="39">
        <f>C19+C20</f>
        <v>3156</v>
      </c>
      <c r="D21" s="39">
        <f>D19+D20</f>
        <v>5084316</v>
      </c>
      <c r="E21" s="40">
        <v>261000</v>
      </c>
      <c r="F21" s="41"/>
      <c r="G21" s="41">
        <f t="shared" ref="G21:AD21" si="21">G19+G20</f>
        <v>4969935</v>
      </c>
      <c r="H21" s="40">
        <f t="shared" si="21"/>
        <v>5084316</v>
      </c>
      <c r="I21" s="40"/>
      <c r="J21" s="40"/>
      <c r="K21" s="40"/>
      <c r="L21" s="40"/>
      <c r="M21" s="40"/>
      <c r="N21" s="40"/>
      <c r="O21" s="40"/>
      <c r="P21" s="40">
        <v>4708935</v>
      </c>
      <c r="Q21" s="40">
        <f t="shared" si="21"/>
        <v>98</v>
      </c>
      <c r="R21" s="40">
        <f t="shared" si="21"/>
        <v>36554</v>
      </c>
      <c r="S21" s="40">
        <f t="shared" si="21"/>
        <v>1</v>
      </c>
      <c r="T21" s="40">
        <f t="shared" si="21"/>
        <v>3070</v>
      </c>
      <c r="U21" s="40">
        <f t="shared" si="21"/>
        <v>3156</v>
      </c>
      <c r="V21" s="40">
        <f t="shared" si="21"/>
        <v>78900</v>
      </c>
      <c r="W21" s="40">
        <f t="shared" si="21"/>
        <v>5</v>
      </c>
      <c r="X21" s="40">
        <f t="shared" si="21"/>
        <v>4310</v>
      </c>
      <c r="Y21" s="40">
        <f t="shared" si="21"/>
        <v>464</v>
      </c>
      <c r="Z21" s="40">
        <f t="shared" si="21"/>
        <v>40368</v>
      </c>
      <c r="AA21" s="40">
        <f t="shared" si="21"/>
        <v>1321</v>
      </c>
      <c r="AB21" s="40">
        <f t="shared" si="21"/>
        <v>95112</v>
      </c>
      <c r="AC21" s="40">
        <f t="shared" si="21"/>
        <v>1691</v>
      </c>
      <c r="AD21" s="42">
        <f t="shared" si="21"/>
        <v>980780</v>
      </c>
      <c r="AE21" s="180">
        <f>H21+R21+T21+V21+Z21+AB21+AD21+X21</f>
        <v>6323410</v>
      </c>
      <c r="AF21" s="163">
        <f>'гориво_бр. деца'!AG21</f>
        <v>127</v>
      </c>
      <c r="AG21" s="163">
        <f>'гориво_бр. деца'!AH21</f>
        <v>41402</v>
      </c>
      <c r="AH21" s="163" t="e">
        <f>'гориво_бр. деца'!AI21</f>
        <v>#REF!</v>
      </c>
      <c r="AI21" s="163" t="e">
        <f>'гориво_бр. деца'!AJ21</f>
        <v>#REF!</v>
      </c>
      <c r="AJ21" s="177" t="e">
        <f>'гориво_бр. деца'!AK21</f>
        <v>#REF!</v>
      </c>
      <c r="AK21" s="163" t="e">
        <f>'гориво_бр. деца'!AL21</f>
        <v>#REF!</v>
      </c>
      <c r="AL21" s="163" t="e">
        <f>'гориво_бр. деца'!AM21</f>
        <v>#REF!</v>
      </c>
      <c r="AM21" s="163" t="e">
        <f>'гориво_бр. деца'!AN21</f>
        <v>#REF!</v>
      </c>
      <c r="AN21" s="163" t="e">
        <f>'гориво_бр. деца'!AO21</f>
        <v>#REF!</v>
      </c>
      <c r="AO21" s="163" t="e">
        <f>'гориво_бр. деца'!AP21</f>
        <v>#REF!</v>
      </c>
      <c r="AP21" s="163" t="e">
        <f>'гориво_бр. деца'!AQ21</f>
        <v>#REF!</v>
      </c>
      <c r="AQ21" s="163" t="e">
        <f>'гориво_бр. деца'!AR21</f>
        <v>#REF!</v>
      </c>
      <c r="AR21" s="163" t="e">
        <f>'гориво_бр. деца'!AS21</f>
        <v>#REF!</v>
      </c>
      <c r="AS21" s="26"/>
      <c r="AT21" s="36"/>
      <c r="AU21" s="113" t="e">
        <f>SUM(AE21,AJ21)</f>
        <v>#REF!</v>
      </c>
    </row>
    <row r="22" spans="1:47" ht="35.25" customHeight="1" x14ac:dyDescent="0.2">
      <c r="A22" s="43"/>
      <c r="B22" s="43"/>
      <c r="C22" s="44"/>
      <c r="D22" s="44"/>
      <c r="E22" s="44"/>
      <c r="F22" s="45">
        <f>D19-E19</f>
        <v>4708935</v>
      </c>
      <c r="G22" s="26"/>
      <c r="H22" s="26"/>
      <c r="I22" s="26"/>
      <c r="J22" s="135">
        <f>SUM(J10:J15,J16:J18)</f>
        <v>47089.349999999991</v>
      </c>
      <c r="K22" s="135"/>
      <c r="L22" s="135"/>
      <c r="M22" s="135"/>
      <c r="N22" s="135"/>
      <c r="O22" s="26"/>
      <c r="P22" s="26"/>
      <c r="Q22" s="46"/>
      <c r="R22" s="46"/>
      <c r="S22" s="46"/>
      <c r="T22" s="46"/>
      <c r="U22" s="46"/>
      <c r="V22" s="46"/>
      <c r="W22" s="46"/>
      <c r="X22" s="46"/>
      <c r="Y22" s="44"/>
      <c r="Z22" s="44"/>
      <c r="AA22" s="26"/>
      <c r="AB22" s="46"/>
      <c r="AC22" s="46"/>
      <c r="AD22" s="46"/>
      <c r="AE22" s="123">
        <f>SUM(AE10:AE18)</f>
        <v>6196304.7037455011</v>
      </c>
      <c r="AF22" s="123"/>
      <c r="AG22" s="123"/>
      <c r="AH22" s="123"/>
      <c r="AI22" s="123"/>
      <c r="AJ22" s="179"/>
      <c r="AK22" s="123"/>
      <c r="AL22" s="123"/>
      <c r="AM22" s="123"/>
      <c r="AN22" s="123"/>
      <c r="AO22" s="123"/>
      <c r="AP22" s="123"/>
      <c r="AQ22" s="123"/>
      <c r="AR22" s="123"/>
      <c r="AS22" s="47"/>
      <c r="AT22" s="6"/>
    </row>
    <row r="23" spans="1:47" ht="15.75" customHeight="1" x14ac:dyDescent="0.25">
      <c r="A23" s="43"/>
      <c r="B23" s="48"/>
      <c r="C23" s="296" t="s">
        <v>27</v>
      </c>
      <c r="D23" s="296"/>
      <c r="E23" s="48"/>
      <c r="F23" s="48"/>
      <c r="G23" s="48"/>
      <c r="H23" s="48"/>
      <c r="I23" s="48"/>
      <c r="J23" s="136">
        <f>SUM(K23,L23,M23,N23)</f>
        <v>47086.053745500001</v>
      </c>
      <c r="K23" s="138">
        <f>SUM(K16:K18)</f>
        <v>12146.697832500002</v>
      </c>
      <c r="L23" s="138">
        <f>SUM(L10)</f>
        <v>6505.3937024999996</v>
      </c>
      <c r="M23" s="136">
        <f>SUM(M11:M15)</f>
        <v>15723.133964999997</v>
      </c>
      <c r="N23" s="136">
        <f>SUM(N10:N18)</f>
        <v>12710.828245499999</v>
      </c>
      <c r="O23" s="113"/>
      <c r="P23" s="113"/>
      <c r="Q23" s="48"/>
      <c r="R23" s="49"/>
      <c r="S23" s="49"/>
      <c r="T23" s="299"/>
      <c r="U23" s="299"/>
      <c r="V23" s="299"/>
      <c r="W23" s="299"/>
      <c r="X23" s="299"/>
      <c r="Y23" s="299"/>
      <c r="Z23" s="299"/>
      <c r="AA23" s="48"/>
      <c r="AB23" s="300" t="s">
        <v>28</v>
      </c>
      <c r="AC23" s="300"/>
      <c r="AD23" s="300"/>
      <c r="AE23" s="300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7"/>
      <c r="AQ23" s="147"/>
      <c r="AR23" s="147"/>
    </row>
    <row r="24" spans="1:47" ht="15.75" customHeight="1" x14ac:dyDescent="0.25">
      <c r="A24" s="43"/>
      <c r="B24" s="48"/>
      <c r="C24" s="48"/>
      <c r="D24" s="51" t="s">
        <v>29</v>
      </c>
      <c r="E24" s="48"/>
      <c r="F24" s="48"/>
      <c r="G24" s="48"/>
      <c r="H24" s="48"/>
      <c r="I24" s="109">
        <f>SUM(I10:I15)</f>
        <v>4228150.4469043761</v>
      </c>
      <c r="J24" s="137"/>
      <c r="K24" s="138"/>
      <c r="L24" s="138"/>
      <c r="M24" s="138"/>
      <c r="N24" s="138"/>
      <c r="O24" s="110"/>
      <c r="P24" s="110"/>
      <c r="Q24" s="48"/>
      <c r="R24" s="49"/>
      <c r="S24" s="49"/>
      <c r="T24" s="49"/>
      <c r="U24" s="51"/>
      <c r="V24" s="48"/>
      <c r="W24" s="48"/>
      <c r="X24" s="48"/>
      <c r="Y24" s="48"/>
      <c r="Z24" s="48"/>
      <c r="AA24" s="48"/>
      <c r="AB24" s="50"/>
      <c r="AC24" s="50"/>
      <c r="AD24" s="295" t="s">
        <v>30</v>
      </c>
      <c r="AE24" s="295"/>
      <c r="AF24" s="145"/>
      <c r="AG24" s="145"/>
      <c r="AH24" s="145"/>
      <c r="AI24" s="145"/>
      <c r="AJ24" s="145"/>
      <c r="AK24" s="145"/>
      <c r="AL24" s="145"/>
      <c r="AM24" s="145"/>
      <c r="AN24" s="145"/>
      <c r="AO24" s="145"/>
      <c r="AP24" s="145"/>
      <c r="AQ24" s="145"/>
      <c r="AR24" s="145"/>
    </row>
    <row r="25" spans="1:47" ht="7.5" customHeight="1" x14ac:dyDescent="0.2"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296"/>
      <c r="V25" s="296"/>
      <c r="W25" s="296"/>
      <c r="X25" s="296"/>
      <c r="Y25" s="296"/>
      <c r="Z25" s="296"/>
      <c r="AA25" s="296"/>
      <c r="AB25" s="52"/>
      <c r="AC25" s="52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</row>
    <row r="26" spans="1:47" ht="27" customHeight="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2"/>
      <c r="R26" s="52"/>
      <c r="S26" s="52"/>
      <c r="T26" s="52"/>
      <c r="U26" s="297"/>
      <c r="V26" s="297"/>
      <c r="W26" s="297"/>
      <c r="X26" s="297"/>
      <c r="Y26" s="297"/>
      <c r="Z26" s="297"/>
      <c r="AA26" s="297"/>
      <c r="AB26" s="297"/>
      <c r="AC26" s="297"/>
      <c r="AD26" s="297"/>
      <c r="AE26" s="297"/>
      <c r="AF26" s="146"/>
      <c r="AG26" s="146"/>
      <c r="AH26" s="146"/>
      <c r="AI26" s="146"/>
      <c r="AJ26" s="146"/>
      <c r="AK26" s="146"/>
      <c r="AL26" s="146"/>
      <c r="AM26" s="146"/>
      <c r="AN26" s="146"/>
      <c r="AO26" s="146"/>
      <c r="AP26" s="146"/>
      <c r="AQ26" s="146"/>
      <c r="AR26" s="146"/>
    </row>
    <row r="27" spans="1:47" ht="20.25" customHeight="1" x14ac:dyDescent="0.25">
      <c r="A27" s="10"/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/>
      <c r="R27" s="54"/>
      <c r="S27" s="54"/>
      <c r="T27" s="54"/>
      <c r="U27" s="55"/>
      <c r="V27" s="298"/>
      <c r="W27" s="298"/>
      <c r="X27" s="298"/>
      <c r="Y27" s="298"/>
      <c r="Z27" s="298"/>
      <c r="AA27" s="298"/>
      <c r="AB27" s="298"/>
      <c r="AC27" s="298"/>
      <c r="AD27" s="298"/>
      <c r="AE27" s="298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</row>
    <row r="28" spans="1:47" ht="15.75" customHeight="1" x14ac:dyDescent="0.2">
      <c r="A28" s="10"/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294"/>
      <c r="AB28" s="294"/>
      <c r="AC28" s="294"/>
      <c r="AD28" s="294"/>
      <c r="AE28" s="29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</row>
    <row r="29" spans="1:47" x14ac:dyDescent="0.2">
      <c r="A29" s="10"/>
      <c r="B29" s="58"/>
      <c r="C29" s="59"/>
      <c r="D29" s="59"/>
      <c r="E29" s="59"/>
      <c r="F29" s="60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</row>
    <row r="30" spans="1:47" x14ac:dyDescent="0.2">
      <c r="A30" s="63"/>
      <c r="B30" s="58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/>
      <c r="AR30" s="62"/>
    </row>
    <row r="31" spans="1:47" x14ac:dyDescent="0.2">
      <c r="A31" s="64"/>
      <c r="B31" s="58"/>
      <c r="C31" s="65"/>
      <c r="D31" s="59"/>
      <c r="E31" s="59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</row>
    <row r="32" spans="1:47" x14ac:dyDescent="0.2">
      <c r="A32" s="64"/>
      <c r="B32" s="66"/>
      <c r="C32" s="47"/>
      <c r="D32" s="47"/>
      <c r="E32" s="47"/>
      <c r="F32" s="9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7" x14ac:dyDescent="0.2">
      <c r="A33" s="6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7" x14ac:dyDescent="0.2">
      <c r="A34" s="64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7" x14ac:dyDescent="0.2">
      <c r="A35" s="64"/>
      <c r="B35" s="6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7" x14ac:dyDescent="0.2">
      <c r="A36" s="63"/>
      <c r="B36" s="6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7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7" x14ac:dyDescent="0.2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7" x14ac:dyDescent="0.2">
      <c r="A39" s="6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7" x14ac:dyDescent="0.2">
      <c r="A40" s="64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7" x14ac:dyDescent="0.2">
      <c r="A41" s="43"/>
      <c r="B41" s="43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7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7" x14ac:dyDescent="0.2">
      <c r="A43" s="69"/>
      <c r="B43" s="69"/>
      <c r="C43" s="69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</row>
    <row r="44" spans="1:17" ht="6.7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</row>
    <row r="45" spans="1:17" ht="5.25" customHeight="1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</row>
    <row r="46" spans="1:17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  <c r="Q46" s="47"/>
    </row>
    <row r="47" spans="1:17" x14ac:dyDescent="0.2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47"/>
    </row>
    <row r="48" spans="1:17" x14ac:dyDescent="0.2">
      <c r="A48" s="67"/>
      <c r="B48" s="67"/>
      <c r="C48" s="47"/>
      <c r="D48" s="47"/>
      <c r="E48" s="47"/>
      <c r="F48" s="70"/>
      <c r="G48" s="67"/>
      <c r="H48" s="67"/>
      <c r="I48" s="67"/>
      <c r="J48" s="67"/>
      <c r="K48" s="67"/>
      <c r="L48" s="67"/>
      <c r="M48" s="67"/>
      <c r="N48" s="67"/>
      <c r="O48" s="67"/>
      <c r="P48" s="67"/>
      <c r="Q48" s="47"/>
    </row>
    <row r="49" spans="1:17" x14ac:dyDescent="0.2">
      <c r="A49" s="71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</row>
    <row r="50" spans="1:17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</row>
    <row r="51" spans="1:17" x14ac:dyDescent="0.2">
      <c r="A51" s="72"/>
      <c r="B51" s="73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</row>
    <row r="52" spans="1:17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</row>
    <row r="53" spans="1:17" x14ac:dyDescent="0.2">
      <c r="A53" s="71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</row>
    <row r="54" spans="1:17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</row>
    <row r="55" spans="1:17" x14ac:dyDescent="0.2">
      <c r="A55" s="72"/>
      <c r="B55" s="73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</row>
    <row r="56" spans="1:17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</row>
    <row r="57" spans="1:17" x14ac:dyDescent="0.2">
      <c r="A57" s="71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</row>
    <row r="58" spans="1:17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</row>
    <row r="59" spans="1:17" x14ac:dyDescent="0.2">
      <c r="A59" s="72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</row>
    <row r="60" spans="1:17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</row>
    <row r="61" spans="1:17" x14ac:dyDescent="0.2">
      <c r="A61" s="71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</row>
    <row r="62" spans="1:17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</row>
    <row r="63" spans="1:17" x14ac:dyDescent="0.2">
      <c r="A63" s="72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</row>
    <row r="64" spans="1:17" x14ac:dyDescent="0.2">
      <c r="A64" s="74"/>
      <c r="B64" s="7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7"/>
    </row>
    <row r="65" spans="1:17" ht="6.75" customHeight="1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</row>
    <row r="66" spans="1:17" x14ac:dyDescent="0.2">
      <c r="A66" s="69"/>
      <c r="B66" s="69"/>
      <c r="C66" s="69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</row>
    <row r="67" spans="1:17" x14ac:dyDescent="0.2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</row>
    <row r="68" spans="1:17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47"/>
    </row>
    <row r="69" spans="1:17" x14ac:dyDescent="0.2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47"/>
    </row>
    <row r="70" spans="1:17" x14ac:dyDescent="0.2">
      <c r="A70" s="67"/>
      <c r="B70" s="67"/>
      <c r="C70" s="47"/>
      <c r="D70" s="47"/>
      <c r="E70" s="47"/>
      <c r="F70" s="70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47"/>
    </row>
    <row r="71" spans="1:17" x14ac:dyDescent="0.2">
      <c r="A71" s="71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</row>
    <row r="72" spans="1:17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</row>
    <row r="73" spans="1:17" x14ac:dyDescent="0.2">
      <c r="A73" s="72"/>
      <c r="B73" s="73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</row>
    <row r="74" spans="1:17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</row>
    <row r="75" spans="1:17" x14ac:dyDescent="0.2">
      <c r="A75" s="71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</row>
    <row r="76" spans="1:17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</row>
    <row r="77" spans="1:17" x14ac:dyDescent="0.2">
      <c r="A77" s="72"/>
      <c r="B77" s="73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</row>
    <row r="78" spans="1:17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</row>
    <row r="79" spans="1:17" x14ac:dyDescent="0.2">
      <c r="A79" s="71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</row>
    <row r="80" spans="1:17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</row>
    <row r="81" spans="1:17" x14ac:dyDescent="0.2">
      <c r="A81" s="72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</row>
    <row r="82" spans="1:17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</row>
    <row r="83" spans="1:17" x14ac:dyDescent="0.2">
      <c r="A83" s="71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</row>
    <row r="84" spans="1:17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</row>
    <row r="85" spans="1:17" x14ac:dyDescent="0.2">
      <c r="A85" s="72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</row>
    <row r="86" spans="1:17" x14ac:dyDescent="0.2">
      <c r="A86" s="74"/>
      <c r="B86" s="7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7"/>
    </row>
    <row r="87" spans="1:17" x14ac:dyDescent="0.2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</row>
    <row r="88" spans="1:17" x14ac:dyDescent="0.2">
      <c r="A88" s="69"/>
      <c r="B88" s="69"/>
      <c r="C88" s="69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</row>
    <row r="89" spans="1:17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</row>
    <row r="90" spans="1:17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</row>
    <row r="91" spans="1:17" x14ac:dyDescent="0.2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</row>
    <row r="92" spans="1:17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47"/>
    </row>
    <row r="93" spans="1:17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47"/>
    </row>
    <row r="94" spans="1:17" x14ac:dyDescent="0.2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47"/>
    </row>
    <row r="95" spans="1:17" x14ac:dyDescent="0.2">
      <c r="A95" s="71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</row>
    <row r="96" spans="1:17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</row>
    <row r="97" spans="1:17" x14ac:dyDescent="0.2">
      <c r="A97" s="72"/>
      <c r="B97" s="73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</row>
    <row r="98" spans="1:17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</row>
    <row r="99" spans="1:17" x14ac:dyDescent="0.2">
      <c r="A99" s="71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</row>
    <row r="100" spans="1:17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</row>
    <row r="101" spans="1:17" x14ac:dyDescent="0.2">
      <c r="A101" s="72"/>
      <c r="B101" s="73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</row>
    <row r="102" spans="1:17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</row>
    <row r="103" spans="1:17" x14ac:dyDescent="0.2">
      <c r="A103" s="71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</row>
    <row r="104" spans="1:17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</row>
    <row r="105" spans="1:17" x14ac:dyDescent="0.2">
      <c r="A105" s="72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</row>
    <row r="106" spans="1:17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</row>
    <row r="107" spans="1:17" x14ac:dyDescent="0.2">
      <c r="A107" s="71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</row>
    <row r="108" spans="1:17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</row>
    <row r="109" spans="1:17" x14ac:dyDescent="0.2">
      <c r="A109" s="72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</row>
    <row r="110" spans="1:17" x14ac:dyDescent="0.2">
      <c r="A110" s="74"/>
      <c r="B110" s="7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7"/>
    </row>
    <row r="111" spans="1:17" x14ac:dyDescent="0.2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</row>
    <row r="112" spans="1:17" x14ac:dyDescent="0.2">
      <c r="A112" s="69"/>
      <c r="B112" s="69"/>
      <c r="C112" s="69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</row>
    <row r="113" spans="1:17" x14ac:dyDescent="0.2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</row>
    <row r="114" spans="1:17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  <c r="Q114" s="47"/>
    </row>
    <row r="115" spans="1:17" x14ac:dyDescent="0.2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47"/>
    </row>
    <row r="116" spans="1:17" x14ac:dyDescent="0.2">
      <c r="A116" s="67"/>
      <c r="B116" s="67"/>
      <c r="C116" s="47"/>
      <c r="D116" s="47"/>
      <c r="E116" s="47"/>
      <c r="F116" s="70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47"/>
    </row>
    <row r="117" spans="1:17" x14ac:dyDescent="0.2">
      <c r="A117" s="71"/>
      <c r="B117" s="47"/>
      <c r="C117" s="47"/>
      <c r="D117" s="47"/>
      <c r="E117" s="47"/>
      <c r="F117" s="75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</row>
    <row r="118" spans="1:17" x14ac:dyDescent="0.2">
      <c r="A118" s="72"/>
      <c r="B118" s="73"/>
      <c r="C118" s="47"/>
      <c r="D118" s="47"/>
      <c r="E118" s="47"/>
      <c r="F118" s="75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</row>
    <row r="119" spans="1:17" x14ac:dyDescent="0.2">
      <c r="A119" s="72"/>
      <c r="B119" s="73"/>
      <c r="C119" s="47"/>
      <c r="D119" s="47"/>
      <c r="E119" s="47"/>
      <c r="F119" s="75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</row>
    <row r="120" spans="1:17" x14ac:dyDescent="0.2">
      <c r="A120" s="71"/>
      <c r="B120" s="47"/>
      <c r="C120" s="47"/>
      <c r="D120" s="47"/>
      <c r="E120" s="47"/>
      <c r="F120" s="75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</row>
    <row r="121" spans="1:17" x14ac:dyDescent="0.2">
      <c r="A121" s="72"/>
      <c r="B121" s="47"/>
      <c r="C121" s="47"/>
      <c r="D121" s="47"/>
      <c r="E121" s="47"/>
      <c r="F121" s="75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</row>
    <row r="122" spans="1:17" x14ac:dyDescent="0.2">
      <c r="A122" s="72"/>
      <c r="B122" s="73"/>
      <c r="C122" s="47"/>
      <c r="D122" s="47"/>
      <c r="E122" s="47"/>
      <c r="F122" s="75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</row>
    <row r="123" spans="1:17" x14ac:dyDescent="0.2">
      <c r="A123" s="71"/>
      <c r="B123" s="73"/>
      <c r="C123" s="47"/>
      <c r="D123" s="47"/>
      <c r="E123" s="47"/>
      <c r="F123" s="75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</row>
    <row r="124" spans="1:17" x14ac:dyDescent="0.2">
      <c r="A124" s="72"/>
      <c r="B124" s="47"/>
      <c r="C124" s="47"/>
      <c r="D124" s="47"/>
      <c r="E124" s="47"/>
      <c r="F124" s="75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</row>
    <row r="125" spans="1:17" x14ac:dyDescent="0.2">
      <c r="A125" s="72"/>
      <c r="B125" s="47"/>
      <c r="C125" s="47"/>
      <c r="D125" s="47"/>
      <c r="E125" s="47"/>
      <c r="F125" s="75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</row>
    <row r="126" spans="1:17" x14ac:dyDescent="0.2">
      <c r="A126" s="71"/>
      <c r="B126" s="47"/>
      <c r="C126" s="47"/>
      <c r="D126" s="47"/>
      <c r="E126" s="47"/>
      <c r="F126" s="75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</row>
    <row r="127" spans="1:17" x14ac:dyDescent="0.2">
      <c r="A127" s="72"/>
      <c r="B127" s="47"/>
      <c r="C127" s="47"/>
      <c r="D127" s="47"/>
      <c r="E127" s="47"/>
      <c r="F127" s="75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</row>
    <row r="128" spans="1:17" x14ac:dyDescent="0.2">
      <c r="A128" s="74"/>
      <c r="B128" s="7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7"/>
    </row>
    <row r="129" spans="1:17" x14ac:dyDescent="0.2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</row>
    <row r="130" spans="1:17" x14ac:dyDescent="0.2">
      <c r="A130" s="69"/>
      <c r="B130" s="69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</row>
    <row r="131" spans="1:17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</row>
    <row r="132" spans="1:17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</row>
    <row r="133" spans="1:17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</row>
    <row r="134" spans="1:17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</row>
    <row r="135" spans="1:17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</row>
    <row r="136" spans="1:17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</row>
    <row r="137" spans="1:17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</row>
    <row r="138" spans="1:17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</row>
    <row r="139" spans="1:17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</row>
    <row r="140" spans="1:17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</row>
    <row r="141" spans="1:17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</row>
    <row r="142" spans="1:17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</row>
    <row r="143" spans="1:17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</row>
    <row r="144" spans="1:17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</row>
    <row r="145" spans="1:17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</row>
    <row r="146" spans="1:17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</row>
    <row r="147" spans="1:17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</row>
    <row r="148" spans="1:17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</row>
    <row r="149" spans="1:17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</row>
    <row r="150" spans="1:17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</row>
    <row r="151" spans="1:17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</row>
    <row r="152" spans="1:17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</row>
    <row r="153" spans="1:17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</row>
    <row r="154" spans="1:17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</row>
    <row r="155" spans="1:17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</row>
    <row r="156" spans="1:17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</row>
    <row r="157" spans="1:17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</row>
    <row r="158" spans="1:17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</row>
    <row r="159" spans="1:17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</row>
    <row r="160" spans="1:17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</row>
    <row r="161" spans="1:17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</row>
    <row r="162" spans="1:17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</row>
    <row r="163" spans="1:17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</row>
    <row r="164" spans="1:17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</row>
    <row r="165" spans="1:17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</row>
    <row r="166" spans="1:17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</row>
    <row r="167" spans="1:17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</row>
    <row r="168" spans="1:17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</row>
    <row r="169" spans="1:17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</row>
    <row r="170" spans="1:17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</row>
    <row r="171" spans="1:17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</row>
    <row r="172" spans="1:17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</row>
    <row r="173" spans="1:17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</row>
    <row r="174" spans="1:17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</row>
    <row r="175" spans="1:17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</row>
    <row r="176" spans="1:17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</row>
    <row r="177" spans="1:17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</row>
    <row r="178" spans="1:17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</row>
    <row r="179" spans="1:17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</row>
    <row r="180" spans="1:17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</row>
    <row r="181" spans="1:17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</row>
    <row r="182" spans="1:17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</row>
    <row r="183" spans="1:17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</row>
    <row r="184" spans="1:17" x14ac:dyDescent="0.2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</row>
  </sheetData>
  <mergeCells count="52">
    <mergeCell ref="AQ5:AQ9"/>
    <mergeCell ref="Q6:R7"/>
    <mergeCell ref="S6:T7"/>
    <mergeCell ref="I5:O5"/>
    <mergeCell ref="AA2:AE2"/>
    <mergeCell ref="A3:AD3"/>
    <mergeCell ref="C5:H5"/>
    <mergeCell ref="Q5:R5"/>
    <mergeCell ref="S5:T5"/>
    <mergeCell ref="U5:V5"/>
    <mergeCell ref="W5:X5"/>
    <mergeCell ref="Y5:Z5"/>
    <mergeCell ref="AA5:AB5"/>
    <mergeCell ref="K6:N6"/>
    <mergeCell ref="AC5:AD5"/>
    <mergeCell ref="AE5:AE9"/>
    <mergeCell ref="AX7:AX9"/>
    <mergeCell ref="A19:B19"/>
    <mergeCell ref="AW7:AW9"/>
    <mergeCell ref="AF6:AG7"/>
    <mergeCell ref="AR5:AR9"/>
    <mergeCell ref="AJ5:AJ9"/>
    <mergeCell ref="AK5:AP5"/>
    <mergeCell ref="AK6:AP6"/>
    <mergeCell ref="AK7:AL7"/>
    <mergeCell ref="AM7:AN7"/>
    <mergeCell ref="AS5:AS9"/>
    <mergeCell ref="AO7:AP7"/>
    <mergeCell ref="A6:A9"/>
    <mergeCell ref="B6:B9"/>
    <mergeCell ref="C6:D7"/>
    <mergeCell ref="E6:E9"/>
    <mergeCell ref="C23:D23"/>
    <mergeCell ref="T23:Z23"/>
    <mergeCell ref="AB23:AE23"/>
    <mergeCell ref="U6:V7"/>
    <mergeCell ref="W6:X7"/>
    <mergeCell ref="G6:G9"/>
    <mergeCell ref="H6:H9"/>
    <mergeCell ref="P7:P9"/>
    <mergeCell ref="F6:F7"/>
    <mergeCell ref="AA28:AE28"/>
    <mergeCell ref="AD24:AE24"/>
    <mergeCell ref="AC6:AD7"/>
    <mergeCell ref="AF5:AG5"/>
    <mergeCell ref="AH5:AI5"/>
    <mergeCell ref="AH6:AI7"/>
    <mergeCell ref="U25:AA25"/>
    <mergeCell ref="Y6:Z7"/>
    <mergeCell ref="U26:AE26"/>
    <mergeCell ref="V27:AE27"/>
    <mergeCell ref="AA6:AB7"/>
  </mergeCells>
  <phoneticPr fontId="29" type="noConversion"/>
  <pageMargins left="0.23622047244094491" right="0.23622047244094491" top="0.74803149606299213" bottom="0.35433070866141736" header="0.31496062992125984" footer="0.31496062992125984"/>
  <pageSetup paperSize="9" scale="9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3"/>
  <sheetViews>
    <sheetView topLeftCell="A4" zoomScale="64" zoomScaleNormal="64" workbookViewId="0">
      <selection activeCell="K6" sqref="K6"/>
    </sheetView>
  </sheetViews>
  <sheetFormatPr defaultColWidth="13" defaultRowHeight="11.25" x14ac:dyDescent="0.2"/>
  <cols>
    <col min="1" max="1" width="2.85546875" style="1" customWidth="1"/>
    <col min="2" max="2" width="15.42578125" style="1" customWidth="1"/>
    <col min="3" max="3" width="4.5703125" style="1" customWidth="1"/>
    <col min="4" max="4" width="7" style="1" customWidth="1"/>
    <col min="5" max="5" width="6.42578125" style="1" customWidth="1"/>
    <col min="6" max="6" width="9.7109375" style="1" customWidth="1"/>
    <col min="7" max="7" width="10.140625" style="1" customWidth="1"/>
    <col min="8" max="8" width="0.42578125" style="1" customWidth="1"/>
    <col min="9" max="9" width="8.28515625" style="1" customWidth="1"/>
    <col min="10" max="10" width="6.140625" style="1" customWidth="1"/>
    <col min="11" max="11" width="5.7109375" style="1" customWidth="1"/>
    <col min="12" max="12" width="7.42578125" style="1" customWidth="1"/>
    <col min="13" max="13" width="3.7109375" style="1" customWidth="1"/>
    <col min="14" max="14" width="5.7109375" style="1" customWidth="1"/>
    <col min="15" max="15" width="3.140625" style="1" customWidth="1"/>
    <col min="16" max="16" width="5" style="1" customWidth="1"/>
    <col min="17" max="18" width="5.28515625" style="1" customWidth="1"/>
    <col min="19" max="19" width="3.42578125" style="1" customWidth="1"/>
    <col min="20" max="20" width="4.7109375" style="1" customWidth="1"/>
    <col min="21" max="21" width="4.140625" style="1" customWidth="1"/>
    <col min="22" max="22" width="6" style="1" customWidth="1"/>
    <col min="23" max="23" width="4.140625" style="1" customWidth="1"/>
    <col min="24" max="24" width="5.7109375" style="1" customWidth="1"/>
    <col min="25" max="25" width="4.28515625" style="1" customWidth="1"/>
    <col min="26" max="26" width="6.5703125" style="1" customWidth="1"/>
    <col min="27" max="32" width="7.5703125" style="1" customWidth="1"/>
    <col min="33" max="33" width="5.7109375" style="1" customWidth="1"/>
    <col min="34" max="34" width="6.28515625" style="1" customWidth="1"/>
    <col min="35" max="35" width="6.7109375" style="1" customWidth="1"/>
    <col min="36" max="36" width="6.85546875" style="1" customWidth="1"/>
    <col min="37" max="37" width="5.5703125" style="1" customWidth="1"/>
    <col min="38" max="38" width="6.85546875" style="1" customWidth="1"/>
    <col min="39" max="39" width="7.5703125" style="1" customWidth="1"/>
    <col min="40" max="40" width="10.42578125" style="1" customWidth="1"/>
    <col min="41" max="41" width="7.7109375" style="1" customWidth="1"/>
    <col min="42" max="42" width="6.7109375" style="1" customWidth="1"/>
    <col min="43" max="16384" width="13" style="1"/>
  </cols>
  <sheetData>
    <row r="1" spans="1:49" ht="14.25" customHeight="1" x14ac:dyDescent="0.2">
      <c r="AA1" s="55" t="s">
        <v>0</v>
      </c>
      <c r="AB1" s="55"/>
      <c r="AC1" s="55"/>
      <c r="AD1" s="55"/>
      <c r="AE1" s="55"/>
      <c r="AF1" s="55"/>
      <c r="AG1" s="55"/>
      <c r="AH1" s="55"/>
      <c r="AI1" s="55"/>
      <c r="AJ1" s="55"/>
      <c r="AK1" s="55"/>
      <c r="AL1" s="55"/>
      <c r="AM1" s="55"/>
      <c r="AN1" s="55"/>
    </row>
    <row r="2" spans="1:49" ht="18" customHeight="1" x14ac:dyDescent="0.2">
      <c r="W2" s="265"/>
      <c r="X2" s="265"/>
      <c r="Y2" s="265"/>
      <c r="Z2" s="265"/>
      <c r="AA2" s="265"/>
    </row>
    <row r="3" spans="1:49" ht="55.5" customHeight="1" x14ac:dyDescent="0.2">
      <c r="A3" s="266" t="s">
        <v>33</v>
      </c>
      <c r="B3" s="266"/>
      <c r="C3" s="266"/>
      <c r="D3" s="266"/>
      <c r="E3" s="266"/>
      <c r="F3" s="266"/>
      <c r="G3" s="266"/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9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9" ht="30" customHeight="1" x14ac:dyDescent="0.2">
      <c r="A5" s="4"/>
      <c r="B5" s="5"/>
      <c r="C5" s="267" t="s">
        <v>1</v>
      </c>
      <c r="D5" s="268"/>
      <c r="E5" s="268"/>
      <c r="F5" s="268"/>
      <c r="G5" s="268"/>
      <c r="H5" s="269"/>
      <c r="I5" s="307" t="s">
        <v>55</v>
      </c>
      <c r="J5" s="308"/>
      <c r="K5" s="308"/>
      <c r="L5" s="309"/>
      <c r="M5" s="267" t="s">
        <v>2</v>
      </c>
      <c r="N5" s="269"/>
      <c r="O5" s="267" t="s">
        <v>2</v>
      </c>
      <c r="P5" s="269"/>
      <c r="Q5" s="270" t="s">
        <v>2</v>
      </c>
      <c r="R5" s="270"/>
      <c r="S5" s="270" t="s">
        <v>2</v>
      </c>
      <c r="T5" s="270"/>
      <c r="U5" s="267" t="s">
        <v>2</v>
      </c>
      <c r="V5" s="268"/>
      <c r="W5" s="270" t="s">
        <v>2</v>
      </c>
      <c r="X5" s="270"/>
      <c r="Y5" s="270" t="s">
        <v>2</v>
      </c>
      <c r="Z5" s="267"/>
      <c r="AA5" s="349" t="s">
        <v>3</v>
      </c>
      <c r="AB5" s="314" t="str">
        <f>'бр. деца'!AF5</f>
        <v>100% от средствата</v>
      </c>
      <c r="AC5" s="314"/>
      <c r="AD5" s="314" t="str">
        <f>'бр. деца'!AH5</f>
        <v>100% от средствата</v>
      </c>
      <c r="AE5" s="314"/>
      <c r="AF5" s="314" t="e">
        <f>'бр. деца'!AJ5</f>
        <v>#REF!</v>
      </c>
      <c r="AG5" s="314" t="e">
        <f>'бр. деца'!AK5</f>
        <v>#REF!</v>
      </c>
      <c r="AH5" s="314"/>
      <c r="AI5" s="314"/>
      <c r="AJ5" s="314"/>
      <c r="AK5" s="314"/>
      <c r="AL5" s="314"/>
      <c r="AM5" s="314" t="e">
        <f>'бр. деца'!AQ5</f>
        <v>#REF!</v>
      </c>
      <c r="AN5" s="314" t="e">
        <f>'бр. деца'!AR5</f>
        <v>#REF!</v>
      </c>
      <c r="AO5" s="277" t="s">
        <v>38</v>
      </c>
      <c r="AP5" s="6"/>
    </row>
    <row r="6" spans="1:49" ht="30.75" customHeight="1" x14ac:dyDescent="0.2">
      <c r="A6" s="278" t="s">
        <v>4</v>
      </c>
      <c r="B6" s="279" t="s">
        <v>5</v>
      </c>
      <c r="C6" s="317" t="s">
        <v>31</v>
      </c>
      <c r="D6" s="318"/>
      <c r="E6" s="321" t="s">
        <v>32</v>
      </c>
      <c r="F6" s="329" t="s">
        <v>6</v>
      </c>
      <c r="G6" s="287" t="s">
        <v>7</v>
      </c>
      <c r="H6" s="328" t="s">
        <v>7</v>
      </c>
      <c r="I6" s="117"/>
      <c r="J6" s="117"/>
      <c r="K6" s="181" t="s">
        <v>54</v>
      </c>
      <c r="L6" s="122"/>
      <c r="M6" s="324" t="s">
        <v>8</v>
      </c>
      <c r="N6" s="325"/>
      <c r="O6" s="324" t="s">
        <v>9</v>
      </c>
      <c r="P6" s="325"/>
      <c r="Q6" s="324" t="s">
        <v>10</v>
      </c>
      <c r="R6" s="325"/>
      <c r="S6" s="324" t="s">
        <v>35</v>
      </c>
      <c r="T6" s="325"/>
      <c r="U6" s="317" t="s">
        <v>11</v>
      </c>
      <c r="V6" s="335"/>
      <c r="W6" s="324" t="s">
        <v>12</v>
      </c>
      <c r="X6" s="325"/>
      <c r="Y6" s="324" t="s">
        <v>13</v>
      </c>
      <c r="Z6" s="333"/>
      <c r="AA6" s="350"/>
      <c r="AB6" s="314" t="str">
        <f>'бр. деца'!AF6</f>
        <v>Норматив за създаване на условия за приобщ. Обр.</v>
      </c>
      <c r="AC6" s="314"/>
      <c r="AD6" s="314" t="e">
        <f>'бр. деца'!AH6</f>
        <v>#REF!</v>
      </c>
      <c r="AE6" s="314"/>
      <c r="AF6" s="314"/>
      <c r="AG6" s="314" t="e">
        <f>'бр. деца'!AK6</f>
        <v>#REF!</v>
      </c>
      <c r="AH6" s="314"/>
      <c r="AI6" s="314"/>
      <c r="AJ6" s="314"/>
      <c r="AK6" s="314"/>
      <c r="AL6" s="314"/>
      <c r="AM6" s="314"/>
      <c r="AN6" s="314"/>
      <c r="AO6" s="277"/>
      <c r="AP6" s="6"/>
    </row>
    <row r="7" spans="1:49" ht="51" customHeight="1" x14ac:dyDescent="0.2">
      <c r="A7" s="278"/>
      <c r="B7" s="279"/>
      <c r="C7" s="319"/>
      <c r="D7" s="320"/>
      <c r="E7" s="322"/>
      <c r="F7" s="330"/>
      <c r="G7" s="287"/>
      <c r="H7" s="328"/>
      <c r="I7" s="118" t="s">
        <v>42</v>
      </c>
      <c r="J7" s="119" t="s">
        <v>38</v>
      </c>
      <c r="K7" s="119" t="s">
        <v>56</v>
      </c>
      <c r="L7" s="340" t="s">
        <v>41</v>
      </c>
      <c r="M7" s="326"/>
      <c r="N7" s="327"/>
      <c r="O7" s="326"/>
      <c r="P7" s="327"/>
      <c r="Q7" s="326"/>
      <c r="R7" s="327"/>
      <c r="S7" s="326"/>
      <c r="T7" s="327"/>
      <c r="U7" s="319"/>
      <c r="V7" s="336"/>
      <c r="W7" s="326"/>
      <c r="X7" s="327"/>
      <c r="Y7" s="326"/>
      <c r="Z7" s="334"/>
      <c r="AA7" s="350"/>
      <c r="AB7" s="314"/>
      <c r="AC7" s="314"/>
      <c r="AD7" s="314"/>
      <c r="AE7" s="314"/>
      <c r="AF7" s="314"/>
      <c r="AG7" s="314" t="e">
        <f>'бр. деца'!AK7</f>
        <v>#REF!</v>
      </c>
      <c r="AH7" s="314"/>
      <c r="AI7" s="314" t="e">
        <f>'бр. деца'!AM7</f>
        <v>#REF!</v>
      </c>
      <c r="AJ7" s="314"/>
      <c r="AK7" s="314" t="e">
        <f>'бр. деца'!AO7</f>
        <v>#REF!</v>
      </c>
      <c r="AL7" s="314"/>
      <c r="AM7" s="314"/>
      <c r="AN7" s="314"/>
      <c r="AO7" s="277"/>
      <c r="AP7" s="6"/>
      <c r="AR7" s="9"/>
      <c r="AS7" s="271"/>
      <c r="AT7" s="271"/>
      <c r="AU7" s="10"/>
      <c r="AV7" s="9"/>
      <c r="AW7" s="9"/>
    </row>
    <row r="8" spans="1:49" ht="76.5" customHeight="1" x14ac:dyDescent="0.2">
      <c r="A8" s="278"/>
      <c r="B8" s="279"/>
      <c r="C8" s="132" t="s">
        <v>14</v>
      </c>
      <c r="D8" s="133">
        <v>1611</v>
      </c>
      <c r="E8" s="323"/>
      <c r="F8" s="134">
        <v>4708935</v>
      </c>
      <c r="G8" s="287"/>
      <c r="H8" s="328"/>
      <c r="I8" s="114"/>
      <c r="J8" s="120"/>
      <c r="K8" s="120">
        <v>6278.53</v>
      </c>
      <c r="L8" s="341"/>
      <c r="M8" s="124" t="s">
        <v>14</v>
      </c>
      <c r="N8" s="125">
        <v>373</v>
      </c>
      <c r="O8" s="124" t="s">
        <v>14</v>
      </c>
      <c r="P8" s="126">
        <v>3070</v>
      </c>
      <c r="Q8" s="124" t="s">
        <v>14</v>
      </c>
      <c r="R8" s="126">
        <v>25</v>
      </c>
      <c r="S8" s="124" t="s">
        <v>14</v>
      </c>
      <c r="T8" s="126">
        <v>862</v>
      </c>
      <c r="U8" s="124" t="s">
        <v>14</v>
      </c>
      <c r="V8" s="124">
        <v>87</v>
      </c>
      <c r="W8" s="124" t="s">
        <v>14</v>
      </c>
      <c r="X8" s="126">
        <v>72</v>
      </c>
      <c r="Y8" s="124" t="s">
        <v>14</v>
      </c>
      <c r="Z8" s="127">
        <v>580</v>
      </c>
      <c r="AA8" s="351"/>
      <c r="AB8" s="13" t="str">
        <f>'бр. деца'!AF9</f>
        <v>брой ученици</v>
      </c>
      <c r="AC8" s="13">
        <f>'бр. деца'!AG9</f>
        <v>326</v>
      </c>
      <c r="AD8" s="13" t="e">
        <f>'бр. деца'!AH9</f>
        <v>#REF!</v>
      </c>
      <c r="AE8" s="13" t="e">
        <f>'бр. деца'!AI9</f>
        <v>#REF!</v>
      </c>
      <c r="AF8" s="314"/>
      <c r="AG8" s="13" t="e">
        <f>'бр. деца'!AK9</f>
        <v>#REF!</v>
      </c>
      <c r="AH8" s="13" t="e">
        <f>'бр. деца'!AL9</f>
        <v>#REF!</v>
      </c>
      <c r="AI8" s="13" t="e">
        <f>'бр. деца'!AM9</f>
        <v>#REF!</v>
      </c>
      <c r="AJ8" s="13" t="e">
        <f>'бр. деца'!AN9</f>
        <v>#REF!</v>
      </c>
      <c r="AK8" s="13" t="e">
        <f>'бр. деца'!AO9</f>
        <v>#REF!</v>
      </c>
      <c r="AL8" s="13" t="e">
        <f>'бр. деца'!AP9</f>
        <v>#REF!</v>
      </c>
      <c r="AM8" s="314"/>
      <c r="AN8" s="314"/>
      <c r="AO8" s="277"/>
      <c r="AP8" s="14"/>
      <c r="AR8" s="9"/>
      <c r="AS8" s="271"/>
      <c r="AT8" s="271"/>
      <c r="AU8" s="15"/>
      <c r="AV8" s="9"/>
      <c r="AW8" s="9"/>
    </row>
    <row r="9" spans="1:49" ht="27" customHeight="1" x14ac:dyDescent="0.2">
      <c r="A9" s="79">
        <v>1</v>
      </c>
      <c r="B9" s="129" t="s">
        <v>15</v>
      </c>
      <c r="C9" s="81">
        <v>320</v>
      </c>
      <c r="D9" s="82">
        <f>$D$8*C9</f>
        <v>515520</v>
      </c>
      <c r="E9" s="82">
        <v>29000</v>
      </c>
      <c r="F9" s="83">
        <f t="shared" ref="F9:F17" si="0">$F$8*C9/$C$18</f>
        <v>488447.06645056728</v>
      </c>
      <c r="G9" s="84">
        <f>F9+E9</f>
        <v>517447.06645056728</v>
      </c>
      <c r="H9" s="82">
        <f>G9</f>
        <v>517447.06645056728</v>
      </c>
      <c r="I9" s="115">
        <f>F9-F9*0.4%</f>
        <v>486493.27818476502</v>
      </c>
      <c r="J9" s="128">
        <f>F9*0.4%</f>
        <v>1953.7882658022691</v>
      </c>
      <c r="K9" s="128">
        <v>0</v>
      </c>
      <c r="L9" s="128">
        <f t="shared" ref="L9:L18" si="1">SUM(I9,K9)</f>
        <v>486493.27818476502</v>
      </c>
      <c r="M9" s="81">
        <v>3</v>
      </c>
      <c r="N9" s="82">
        <f t="shared" ref="N9:N17" si="2">M9*$N$8</f>
        <v>1119</v>
      </c>
      <c r="O9" s="82">
        <v>1</v>
      </c>
      <c r="P9" s="82">
        <f t="shared" ref="P9:P17" si="3">O9*$P$8</f>
        <v>3070</v>
      </c>
      <c r="Q9" s="81">
        <f t="shared" ref="Q9:Q17" si="4">C9</f>
        <v>320</v>
      </c>
      <c r="R9" s="82">
        <f t="shared" ref="R9:R17" si="5">Q9*$R$8</f>
        <v>8000</v>
      </c>
      <c r="S9" s="82"/>
      <c r="T9" s="82">
        <f t="shared" ref="T9:T17" si="6">S9*$T$8</f>
        <v>0</v>
      </c>
      <c r="U9" s="86">
        <v>215</v>
      </c>
      <c r="V9" s="86">
        <f t="shared" ref="V9:V17" si="7">U9*$V$8</f>
        <v>18705</v>
      </c>
      <c r="W9" s="87"/>
      <c r="X9" s="88"/>
      <c r="Y9" s="82"/>
      <c r="Z9" s="89">
        <f t="shared" ref="Z9:Z17" si="8">Y9*$Z$8</f>
        <v>0</v>
      </c>
      <c r="AA9" s="171">
        <f>L9+E9+N9+P9+R9+V9+X9+Z9+T9</f>
        <v>546387.27818476502</v>
      </c>
      <c r="AB9" s="173">
        <f>'бр. деца'!AF10</f>
        <v>1</v>
      </c>
      <c r="AC9" s="173">
        <f>'бр. деца'!AG10</f>
        <v>326</v>
      </c>
      <c r="AD9" s="173" t="e">
        <f>'бр. деца'!AH10</f>
        <v>#REF!</v>
      </c>
      <c r="AE9" s="173" t="e">
        <f>'бр. деца'!AI10</f>
        <v>#REF!</v>
      </c>
      <c r="AF9" s="173" t="e">
        <f>'бр. деца'!AJ10</f>
        <v>#REF!</v>
      </c>
      <c r="AG9" s="173" t="e">
        <f>'бр. деца'!AK10</f>
        <v>#REF!</v>
      </c>
      <c r="AH9" s="173" t="e">
        <f>'бр. деца'!AL10</f>
        <v>#REF!</v>
      </c>
      <c r="AI9" s="173" t="e">
        <f>'бр. деца'!AM10</f>
        <v>#REF!</v>
      </c>
      <c r="AJ9" s="173" t="e">
        <f>'бр. деца'!AN10</f>
        <v>#REF!</v>
      </c>
      <c r="AK9" s="173" t="e">
        <f>'бр. деца'!AO10</f>
        <v>#REF!</v>
      </c>
      <c r="AL9" s="173" t="e">
        <f>'бр. деца'!AP10</f>
        <v>#REF!</v>
      </c>
      <c r="AM9" s="173" t="e">
        <f>'бр. деца'!AQ10</f>
        <v>#REF!</v>
      </c>
      <c r="AN9" s="173" t="e">
        <f>'бр. деца'!AR10</f>
        <v>#REF!</v>
      </c>
      <c r="AO9" s="26">
        <f t="shared" ref="AO9:AO18" si="9">K9-J9</f>
        <v>-1953.7882658022691</v>
      </c>
      <c r="AP9" s="27"/>
      <c r="AR9" s="9"/>
      <c r="AS9" s="28"/>
      <c r="AT9" s="29"/>
      <c r="AU9" s="15"/>
      <c r="AV9" s="9"/>
      <c r="AW9" s="15"/>
    </row>
    <row r="10" spans="1:49" ht="25.5" customHeight="1" x14ac:dyDescent="0.2">
      <c r="A10" s="30">
        <v>2</v>
      </c>
      <c r="B10" s="130" t="s">
        <v>16</v>
      </c>
      <c r="C10" s="18">
        <v>416</v>
      </c>
      <c r="D10" s="19">
        <f t="shared" ref="D10:D19" si="10">$D$8*C10</f>
        <v>670176</v>
      </c>
      <c r="E10" s="19">
        <v>29000</v>
      </c>
      <c r="F10" s="20">
        <f t="shared" si="0"/>
        <v>634981.18638573738</v>
      </c>
      <c r="G10" s="21">
        <f t="shared" ref="G10:G17" si="11">F10+E10</f>
        <v>663981.18638573738</v>
      </c>
      <c r="H10" s="19">
        <f t="shared" ref="H10:H17" si="12">G10</f>
        <v>663981.18638573738</v>
      </c>
      <c r="I10" s="115">
        <f t="shared" ref="I10:I17" si="13">F10-F10*0.4%</f>
        <v>632441.26164019445</v>
      </c>
      <c r="J10" s="128">
        <f t="shared" ref="J10:J17" si="14">F10*0.4%</f>
        <v>2539.9247455429495</v>
      </c>
      <c r="K10" s="128">
        <v>0</v>
      </c>
      <c r="L10" s="128">
        <f t="shared" si="1"/>
        <v>632441.26164019445</v>
      </c>
      <c r="M10" s="18">
        <v>3</v>
      </c>
      <c r="N10" s="19">
        <f t="shared" si="2"/>
        <v>1119</v>
      </c>
      <c r="O10" s="22"/>
      <c r="P10" s="19">
        <f t="shared" si="3"/>
        <v>0</v>
      </c>
      <c r="Q10" s="18">
        <f t="shared" si="4"/>
        <v>416</v>
      </c>
      <c r="R10" s="19">
        <f t="shared" si="5"/>
        <v>10400</v>
      </c>
      <c r="S10" s="19"/>
      <c r="T10" s="19">
        <f t="shared" si="6"/>
        <v>0</v>
      </c>
      <c r="U10" s="23">
        <v>213</v>
      </c>
      <c r="V10" s="23">
        <f t="shared" si="7"/>
        <v>18531</v>
      </c>
      <c r="W10" s="24"/>
      <c r="X10" s="25"/>
      <c r="Y10" s="19"/>
      <c r="Z10" s="77">
        <f t="shared" si="8"/>
        <v>0</v>
      </c>
      <c r="AA10" s="171">
        <f t="shared" ref="AA10:AA19" si="15">L10+E10+N10+P10+R10+V10+X10+Z10+T10</f>
        <v>691491.26164019445</v>
      </c>
      <c r="AB10" s="169">
        <f>'бр. деца'!AF11</f>
        <v>0</v>
      </c>
      <c r="AC10" s="169">
        <f>'бр. деца'!AG11</f>
        <v>0</v>
      </c>
      <c r="AD10" s="169" t="e">
        <f>'бр. деца'!AH11</f>
        <v>#REF!</v>
      </c>
      <c r="AE10" s="169" t="e">
        <f>'бр. деца'!AI11</f>
        <v>#REF!</v>
      </c>
      <c r="AF10" s="169" t="e">
        <f>'бр. деца'!AJ11</f>
        <v>#REF!</v>
      </c>
      <c r="AG10" s="169" t="e">
        <f>'бр. деца'!AK11</f>
        <v>#REF!</v>
      </c>
      <c r="AH10" s="169" t="e">
        <f>'бр. деца'!AL11</f>
        <v>#REF!</v>
      </c>
      <c r="AI10" s="169" t="e">
        <f>'бр. деца'!AM11</f>
        <v>#REF!</v>
      </c>
      <c r="AJ10" s="169" t="e">
        <f>'бр. деца'!AN11</f>
        <v>#REF!</v>
      </c>
      <c r="AK10" s="169" t="e">
        <f>'бр. деца'!AO11</f>
        <v>#REF!</v>
      </c>
      <c r="AL10" s="169" t="e">
        <f>'бр. деца'!AP11</f>
        <v>#REF!</v>
      </c>
      <c r="AM10" s="169" t="e">
        <f>'бр. деца'!AQ11</f>
        <v>#REF!</v>
      </c>
      <c r="AN10" s="169" t="e">
        <f>'бр. деца'!AR11</f>
        <v>#REF!</v>
      </c>
      <c r="AO10" s="26">
        <f t="shared" si="9"/>
        <v>-2539.9247455429495</v>
      </c>
      <c r="AP10" s="27"/>
      <c r="AR10" s="9"/>
      <c r="AS10" s="28"/>
      <c r="AT10" s="29"/>
      <c r="AU10" s="15"/>
      <c r="AV10" s="9"/>
      <c r="AW10" s="15"/>
    </row>
    <row r="11" spans="1:49" ht="29.25" customHeight="1" x14ac:dyDescent="0.2">
      <c r="A11" s="91">
        <v>3</v>
      </c>
      <c r="B11" s="129" t="s">
        <v>17</v>
      </c>
      <c r="C11" s="81">
        <v>559</v>
      </c>
      <c r="D11" s="82">
        <f t="shared" si="10"/>
        <v>900549</v>
      </c>
      <c r="E11" s="82">
        <v>29000</v>
      </c>
      <c r="F11" s="83">
        <f t="shared" si="0"/>
        <v>853255.96920583467</v>
      </c>
      <c r="G11" s="84">
        <f t="shared" si="11"/>
        <v>882255.96920583467</v>
      </c>
      <c r="H11" s="82">
        <f t="shared" si="12"/>
        <v>882255.96920583467</v>
      </c>
      <c r="I11" s="115">
        <f t="shared" si="13"/>
        <v>849842.9453290113</v>
      </c>
      <c r="J11" s="128">
        <f t="shared" si="14"/>
        <v>3413.0238768233389</v>
      </c>
      <c r="K11" s="128">
        <v>0</v>
      </c>
      <c r="L11" s="128">
        <f t="shared" si="1"/>
        <v>849842.9453290113</v>
      </c>
      <c r="M11" s="81">
        <v>15</v>
      </c>
      <c r="N11" s="82">
        <f t="shared" si="2"/>
        <v>5595</v>
      </c>
      <c r="O11" s="82"/>
      <c r="P11" s="82">
        <f t="shared" si="3"/>
        <v>0</v>
      </c>
      <c r="Q11" s="81">
        <f t="shared" si="4"/>
        <v>559</v>
      </c>
      <c r="R11" s="82">
        <f t="shared" si="5"/>
        <v>13975</v>
      </c>
      <c r="S11" s="82">
        <v>1</v>
      </c>
      <c r="T11" s="82">
        <f t="shared" si="6"/>
        <v>862</v>
      </c>
      <c r="U11" s="86">
        <v>97</v>
      </c>
      <c r="V11" s="86">
        <f t="shared" si="7"/>
        <v>8439</v>
      </c>
      <c r="W11" s="92">
        <v>283</v>
      </c>
      <c r="X11" s="82">
        <f t="shared" ref="X11:X17" si="16">W11*$X$8</f>
        <v>20376</v>
      </c>
      <c r="Y11" s="82">
        <v>348</v>
      </c>
      <c r="Z11" s="89">
        <f t="shared" si="8"/>
        <v>201840</v>
      </c>
      <c r="AA11" s="171">
        <f t="shared" si="15"/>
        <v>1129929.9453290114</v>
      </c>
      <c r="AB11" s="173">
        <f>'бр. деца'!AF12</f>
        <v>36</v>
      </c>
      <c r="AC11" s="173">
        <f>'бр. деца'!AG12</f>
        <v>11736</v>
      </c>
      <c r="AD11" s="173" t="e">
        <f>'бр. деца'!AH12</f>
        <v>#REF!</v>
      </c>
      <c r="AE11" s="173" t="e">
        <f>'бр. деца'!AI12</f>
        <v>#REF!</v>
      </c>
      <c r="AF11" s="173" t="e">
        <f>'бр. деца'!AJ12</f>
        <v>#REF!</v>
      </c>
      <c r="AG11" s="173" t="e">
        <f>'бр. деца'!AK12</f>
        <v>#REF!</v>
      </c>
      <c r="AH11" s="173" t="e">
        <f>'бр. деца'!AL12</f>
        <v>#REF!</v>
      </c>
      <c r="AI11" s="173" t="e">
        <f>'бр. деца'!AM12</f>
        <v>#REF!</v>
      </c>
      <c r="AJ11" s="173" t="e">
        <f>'бр. деца'!AN12</f>
        <v>#REF!</v>
      </c>
      <c r="AK11" s="173" t="e">
        <f>'бр. деца'!AO12</f>
        <v>#REF!</v>
      </c>
      <c r="AL11" s="173" t="e">
        <f>'бр. деца'!AP12</f>
        <v>#REF!</v>
      </c>
      <c r="AM11" s="173" t="e">
        <f>'бр. деца'!AQ12</f>
        <v>#REF!</v>
      </c>
      <c r="AN11" s="173" t="e">
        <f>'бр. деца'!AR12</f>
        <v>#REF!</v>
      </c>
      <c r="AO11" s="26">
        <f t="shared" si="9"/>
        <v>-3413.0238768233389</v>
      </c>
      <c r="AP11" s="27"/>
      <c r="AR11" s="9"/>
      <c r="AS11" s="28"/>
      <c r="AT11" s="29"/>
      <c r="AU11" s="15"/>
      <c r="AV11" s="9"/>
      <c r="AW11" s="15"/>
    </row>
    <row r="12" spans="1:49" ht="25.5" customHeight="1" x14ac:dyDescent="0.2">
      <c r="A12" s="16">
        <v>4</v>
      </c>
      <c r="B12" s="130" t="s">
        <v>18</v>
      </c>
      <c r="C12" s="18">
        <v>428</v>
      </c>
      <c r="D12" s="19">
        <f t="shared" si="10"/>
        <v>689508</v>
      </c>
      <c r="E12" s="19">
        <v>29000</v>
      </c>
      <c r="F12" s="20">
        <f t="shared" si="0"/>
        <v>653297.95137763373</v>
      </c>
      <c r="G12" s="21">
        <f t="shared" si="11"/>
        <v>682297.95137763373</v>
      </c>
      <c r="H12" s="19">
        <f t="shared" si="12"/>
        <v>682297.95137763373</v>
      </c>
      <c r="I12" s="115">
        <f t="shared" si="13"/>
        <v>650684.75957212318</v>
      </c>
      <c r="J12" s="128">
        <f t="shared" si="14"/>
        <v>2613.1918055105348</v>
      </c>
      <c r="K12" s="128">
        <v>0</v>
      </c>
      <c r="L12" s="128">
        <f t="shared" si="1"/>
        <v>650684.75957212318</v>
      </c>
      <c r="M12" s="18"/>
      <c r="N12" s="19">
        <f t="shared" si="2"/>
        <v>0</v>
      </c>
      <c r="O12" s="19">
        <v>1</v>
      </c>
      <c r="P12" s="19">
        <f t="shared" si="3"/>
        <v>3070</v>
      </c>
      <c r="Q12" s="18">
        <f t="shared" si="4"/>
        <v>428</v>
      </c>
      <c r="R12" s="19">
        <f t="shared" si="5"/>
        <v>10700</v>
      </c>
      <c r="S12" s="19"/>
      <c r="T12" s="19">
        <f t="shared" si="6"/>
        <v>0</v>
      </c>
      <c r="U12" s="23"/>
      <c r="V12" s="23">
        <f t="shared" si="7"/>
        <v>0</v>
      </c>
      <c r="W12" s="31">
        <v>229</v>
      </c>
      <c r="X12" s="19">
        <f t="shared" si="16"/>
        <v>16488</v>
      </c>
      <c r="Y12" s="19">
        <v>246</v>
      </c>
      <c r="Z12" s="77">
        <f t="shared" si="8"/>
        <v>142680</v>
      </c>
      <c r="AA12" s="171">
        <f t="shared" si="15"/>
        <v>852622.75957212318</v>
      </c>
      <c r="AB12" s="169">
        <f>'бр. деца'!AF13</f>
        <v>15</v>
      </c>
      <c r="AC12" s="169">
        <f>'бр. деца'!AG13</f>
        <v>4890</v>
      </c>
      <c r="AD12" s="169" t="e">
        <f>'бр. деца'!AH13</f>
        <v>#REF!</v>
      </c>
      <c r="AE12" s="169" t="e">
        <f>'бр. деца'!AI13</f>
        <v>#REF!</v>
      </c>
      <c r="AF12" s="169" t="e">
        <f>'бр. деца'!AJ13</f>
        <v>#REF!</v>
      </c>
      <c r="AG12" s="169" t="e">
        <f>'бр. деца'!AK13</f>
        <v>#REF!</v>
      </c>
      <c r="AH12" s="169" t="e">
        <f>'бр. деца'!AL13</f>
        <v>#REF!</v>
      </c>
      <c r="AI12" s="169" t="e">
        <f>'бр. деца'!AM13</f>
        <v>#REF!</v>
      </c>
      <c r="AJ12" s="169" t="e">
        <f>'бр. деца'!AN13</f>
        <v>#REF!</v>
      </c>
      <c r="AK12" s="169" t="e">
        <f>'бр. деца'!AO13</f>
        <v>#REF!</v>
      </c>
      <c r="AL12" s="169" t="e">
        <f>'бр. деца'!AP13</f>
        <v>#REF!</v>
      </c>
      <c r="AM12" s="169" t="e">
        <f>'бр. деца'!AQ13</f>
        <v>#REF!</v>
      </c>
      <c r="AN12" s="169" t="e">
        <f>'бр. деца'!AR13</f>
        <v>#REF!</v>
      </c>
      <c r="AO12" s="26">
        <f t="shared" si="9"/>
        <v>-2613.1918055105348</v>
      </c>
      <c r="AP12" s="27"/>
      <c r="AR12" s="15"/>
      <c r="AS12" s="15"/>
      <c r="AT12" s="29"/>
      <c r="AU12" s="15"/>
      <c r="AV12" s="15"/>
      <c r="AW12" s="15"/>
    </row>
    <row r="13" spans="1:49" ht="33.950000000000003" customHeight="1" x14ac:dyDescent="0.2">
      <c r="A13" s="79">
        <v>5</v>
      </c>
      <c r="B13" s="131" t="s">
        <v>19</v>
      </c>
      <c r="C13" s="86">
        <v>444</v>
      </c>
      <c r="D13" s="82">
        <f t="shared" si="10"/>
        <v>715284</v>
      </c>
      <c r="E13" s="82">
        <v>29000</v>
      </c>
      <c r="F13" s="83">
        <f t="shared" si="0"/>
        <v>677720.30470016203</v>
      </c>
      <c r="G13" s="83">
        <f t="shared" si="11"/>
        <v>706720.30470016203</v>
      </c>
      <c r="H13" s="82">
        <f t="shared" si="12"/>
        <v>706720.30470016203</v>
      </c>
      <c r="I13" s="115">
        <f t="shared" si="13"/>
        <v>675009.42348136136</v>
      </c>
      <c r="J13" s="128">
        <f t="shared" si="14"/>
        <v>2710.8812188006482</v>
      </c>
      <c r="K13" s="128">
        <v>0</v>
      </c>
      <c r="L13" s="128">
        <f t="shared" si="1"/>
        <v>675009.42348136136</v>
      </c>
      <c r="M13" s="86"/>
      <c r="N13" s="87">
        <f t="shared" si="2"/>
        <v>0</v>
      </c>
      <c r="O13" s="87"/>
      <c r="P13" s="82">
        <f t="shared" si="3"/>
        <v>0</v>
      </c>
      <c r="Q13" s="86">
        <f t="shared" si="4"/>
        <v>444</v>
      </c>
      <c r="R13" s="87">
        <f t="shared" si="5"/>
        <v>11100</v>
      </c>
      <c r="S13" s="87">
        <v>3</v>
      </c>
      <c r="T13" s="82">
        <f t="shared" si="6"/>
        <v>2586</v>
      </c>
      <c r="U13" s="94"/>
      <c r="V13" s="86">
        <f t="shared" si="7"/>
        <v>0</v>
      </c>
      <c r="W13" s="92">
        <v>258</v>
      </c>
      <c r="X13" s="87">
        <f t="shared" si="16"/>
        <v>18576</v>
      </c>
      <c r="Y13" s="87">
        <v>335</v>
      </c>
      <c r="Z13" s="89">
        <f t="shared" si="8"/>
        <v>194300</v>
      </c>
      <c r="AA13" s="171">
        <f t="shared" si="15"/>
        <v>930571.42348136136</v>
      </c>
      <c r="AB13" s="173">
        <f>'бр. деца'!AF14</f>
        <v>28</v>
      </c>
      <c r="AC13" s="173">
        <f>'бр. деца'!AG14</f>
        <v>9128</v>
      </c>
      <c r="AD13" s="173" t="e">
        <f>'бр. деца'!AH14</f>
        <v>#REF!</v>
      </c>
      <c r="AE13" s="173" t="e">
        <f>'бр. деца'!AI14</f>
        <v>#REF!</v>
      </c>
      <c r="AF13" s="173" t="e">
        <f>'бр. деца'!AJ14</f>
        <v>#REF!</v>
      </c>
      <c r="AG13" s="173" t="e">
        <f>'бр. деца'!AK14</f>
        <v>#REF!</v>
      </c>
      <c r="AH13" s="173" t="e">
        <f>'бр. деца'!AL14</f>
        <v>#REF!</v>
      </c>
      <c r="AI13" s="173" t="e">
        <f>'бр. деца'!AM14</f>
        <v>#REF!</v>
      </c>
      <c r="AJ13" s="173" t="e">
        <f>'бр. деца'!AN14</f>
        <v>#REF!</v>
      </c>
      <c r="AK13" s="173" t="e">
        <f>'бр. деца'!AO14</f>
        <v>#REF!</v>
      </c>
      <c r="AL13" s="173" t="e">
        <f>'бр. деца'!AP14</f>
        <v>#REF!</v>
      </c>
      <c r="AM13" s="173" t="e">
        <f>'бр. деца'!AQ14</f>
        <v>#REF!</v>
      </c>
      <c r="AN13" s="173" t="e">
        <f>'бр. деца'!AR14</f>
        <v>#REF!</v>
      </c>
      <c r="AO13" s="26">
        <f t="shared" si="9"/>
        <v>-2710.8812188006482</v>
      </c>
      <c r="AP13" s="27"/>
      <c r="AR13" s="9"/>
      <c r="AS13" s="9"/>
      <c r="AT13" s="9"/>
      <c r="AU13" s="15"/>
      <c r="AV13" s="9"/>
      <c r="AW13" s="9"/>
    </row>
    <row r="14" spans="1:49" ht="25.5" customHeight="1" x14ac:dyDescent="0.2">
      <c r="A14" s="30">
        <v>6</v>
      </c>
      <c r="B14" s="130" t="s">
        <v>20</v>
      </c>
      <c r="C14" s="18">
        <v>631</v>
      </c>
      <c r="D14" s="19">
        <f t="shared" si="10"/>
        <v>1016541</v>
      </c>
      <c r="E14" s="19">
        <v>29000</v>
      </c>
      <c r="F14" s="20">
        <f t="shared" si="0"/>
        <v>963156.55915721226</v>
      </c>
      <c r="G14" s="21">
        <f t="shared" si="11"/>
        <v>992156.55915721226</v>
      </c>
      <c r="H14" s="19">
        <f t="shared" si="12"/>
        <v>992156.55915721226</v>
      </c>
      <c r="I14" s="115">
        <f t="shared" si="13"/>
        <v>959303.93292058341</v>
      </c>
      <c r="J14" s="128">
        <f t="shared" si="14"/>
        <v>3852.6262366288493</v>
      </c>
      <c r="K14" s="128">
        <v>0</v>
      </c>
      <c r="L14" s="128">
        <f t="shared" si="1"/>
        <v>959303.93292058341</v>
      </c>
      <c r="M14" s="18"/>
      <c r="N14" s="19">
        <f t="shared" si="2"/>
        <v>0</v>
      </c>
      <c r="O14" s="19"/>
      <c r="P14" s="19">
        <f t="shared" si="3"/>
        <v>0</v>
      </c>
      <c r="Q14" s="18">
        <f t="shared" si="4"/>
        <v>631</v>
      </c>
      <c r="R14" s="19">
        <f t="shared" si="5"/>
        <v>15775</v>
      </c>
      <c r="S14" s="19"/>
      <c r="T14" s="19">
        <f t="shared" si="6"/>
        <v>0</v>
      </c>
      <c r="U14" s="32"/>
      <c r="V14" s="23">
        <f t="shared" si="7"/>
        <v>0</v>
      </c>
      <c r="W14" s="31">
        <v>414</v>
      </c>
      <c r="X14" s="19">
        <f t="shared" si="16"/>
        <v>29808</v>
      </c>
      <c r="Y14" s="19">
        <v>505</v>
      </c>
      <c r="Z14" s="77">
        <f t="shared" si="8"/>
        <v>292900</v>
      </c>
      <c r="AA14" s="171">
        <f t="shared" si="15"/>
        <v>1326786.9329205835</v>
      </c>
      <c r="AB14" s="169">
        <f>'бр. деца'!AF15</f>
        <v>25</v>
      </c>
      <c r="AC14" s="169">
        <f>'бр. деца'!AG15</f>
        <v>8150</v>
      </c>
      <c r="AD14" s="169" t="e">
        <f>'бр. деца'!AH15</f>
        <v>#REF!</v>
      </c>
      <c r="AE14" s="169" t="e">
        <f>'бр. деца'!AI15</f>
        <v>#REF!</v>
      </c>
      <c r="AF14" s="169" t="e">
        <f>'бр. деца'!AJ15</f>
        <v>#REF!</v>
      </c>
      <c r="AG14" s="169" t="e">
        <f>'бр. деца'!AK15</f>
        <v>#REF!</v>
      </c>
      <c r="AH14" s="169" t="e">
        <f>'бр. деца'!AL15</f>
        <v>#REF!</v>
      </c>
      <c r="AI14" s="169" t="e">
        <f>'бр. деца'!AM15</f>
        <v>#REF!</v>
      </c>
      <c r="AJ14" s="169" t="e">
        <f>'бр. деца'!AN15</f>
        <v>#REF!</v>
      </c>
      <c r="AK14" s="169" t="e">
        <f>'бр. деца'!AO15</f>
        <v>#REF!</v>
      </c>
      <c r="AL14" s="169" t="e">
        <f>'бр. деца'!AP15</f>
        <v>#REF!</v>
      </c>
      <c r="AM14" s="169" t="e">
        <f>'бр. деца'!AQ15</f>
        <v>#REF!</v>
      </c>
      <c r="AN14" s="169" t="e">
        <f>'бр. деца'!AR15</f>
        <v>#REF!</v>
      </c>
      <c r="AO14" s="26">
        <f t="shared" si="9"/>
        <v>-3852.6262366288493</v>
      </c>
      <c r="AP14" s="27"/>
      <c r="AR14" s="9"/>
      <c r="AS14" s="9"/>
      <c r="AT14" s="9"/>
      <c r="AU14" s="15"/>
      <c r="AV14" s="9"/>
      <c r="AW14" s="9"/>
    </row>
    <row r="15" spans="1:49" ht="34.5" customHeight="1" x14ac:dyDescent="0.2">
      <c r="A15" s="79">
        <v>7</v>
      </c>
      <c r="B15" s="129" t="s">
        <v>21</v>
      </c>
      <c r="C15" s="81">
        <v>92</v>
      </c>
      <c r="D15" s="82">
        <f t="shared" si="10"/>
        <v>148212</v>
      </c>
      <c r="E15" s="82">
        <v>29000</v>
      </c>
      <c r="F15" s="83">
        <f t="shared" si="0"/>
        <v>140428.53160453809</v>
      </c>
      <c r="G15" s="84">
        <f t="shared" si="11"/>
        <v>169428.53160453809</v>
      </c>
      <c r="H15" s="82">
        <f t="shared" si="12"/>
        <v>169428.53160453809</v>
      </c>
      <c r="I15" s="115">
        <f t="shared" si="13"/>
        <v>139866.81747811995</v>
      </c>
      <c r="J15" s="128">
        <f t="shared" si="14"/>
        <v>561.71412641815232</v>
      </c>
      <c r="K15" s="128">
        <v>6278.53</v>
      </c>
      <c r="L15" s="128">
        <f t="shared" si="1"/>
        <v>146145.34747811995</v>
      </c>
      <c r="M15" s="81">
        <v>26</v>
      </c>
      <c r="N15" s="82">
        <f t="shared" si="2"/>
        <v>9698</v>
      </c>
      <c r="O15" s="85"/>
      <c r="P15" s="82">
        <f t="shared" si="3"/>
        <v>0</v>
      </c>
      <c r="Q15" s="81">
        <f t="shared" si="4"/>
        <v>92</v>
      </c>
      <c r="R15" s="82">
        <f t="shared" si="5"/>
        <v>2300</v>
      </c>
      <c r="S15" s="82"/>
      <c r="T15" s="82">
        <f t="shared" si="6"/>
        <v>0</v>
      </c>
      <c r="U15" s="94"/>
      <c r="V15" s="86">
        <f t="shared" si="7"/>
        <v>0</v>
      </c>
      <c r="W15" s="95">
        <v>48</v>
      </c>
      <c r="X15" s="82">
        <f t="shared" si="16"/>
        <v>3456</v>
      </c>
      <c r="Y15" s="82">
        <v>52</v>
      </c>
      <c r="Z15" s="89">
        <f t="shared" si="8"/>
        <v>30160</v>
      </c>
      <c r="AA15" s="171">
        <f t="shared" si="15"/>
        <v>220759.34747811995</v>
      </c>
      <c r="AB15" s="173">
        <f>'бр. деца'!AF16</f>
        <v>10</v>
      </c>
      <c r="AC15" s="173">
        <f>'бр. деца'!AG16</f>
        <v>3260</v>
      </c>
      <c r="AD15" s="173" t="e">
        <f>'бр. деца'!AH16</f>
        <v>#REF!</v>
      </c>
      <c r="AE15" s="173" t="e">
        <f>'бр. деца'!AI16</f>
        <v>#REF!</v>
      </c>
      <c r="AF15" s="173" t="e">
        <f>'бр. деца'!AJ16</f>
        <v>#REF!</v>
      </c>
      <c r="AG15" s="173" t="e">
        <f>'бр. деца'!AK16</f>
        <v>#REF!</v>
      </c>
      <c r="AH15" s="173" t="e">
        <f>'бр. деца'!AL16</f>
        <v>#REF!</v>
      </c>
      <c r="AI15" s="173" t="e">
        <f>'бр. деца'!AM16</f>
        <v>#REF!</v>
      </c>
      <c r="AJ15" s="173" t="e">
        <f>'бр. деца'!AN16</f>
        <v>#REF!</v>
      </c>
      <c r="AK15" s="173" t="e">
        <f>'бр. деца'!AO16</f>
        <v>#REF!</v>
      </c>
      <c r="AL15" s="173" t="e">
        <f>'бр. деца'!AP16</f>
        <v>#REF!</v>
      </c>
      <c r="AM15" s="173" t="e">
        <f>'бр. деца'!AQ16</f>
        <v>#REF!</v>
      </c>
      <c r="AN15" s="173" t="e">
        <f>'бр. деца'!AR16</f>
        <v>#REF!</v>
      </c>
      <c r="AO15" s="26">
        <f t="shared" si="9"/>
        <v>5716.815873581847</v>
      </c>
      <c r="AP15" s="27"/>
    </row>
    <row r="16" spans="1:49" ht="27" customHeight="1" x14ac:dyDescent="0.2">
      <c r="A16" s="16">
        <v>8</v>
      </c>
      <c r="B16" s="130" t="s">
        <v>22</v>
      </c>
      <c r="C16" s="18">
        <v>146</v>
      </c>
      <c r="D16" s="19">
        <f t="shared" si="10"/>
        <v>235206</v>
      </c>
      <c r="E16" s="19">
        <v>29000</v>
      </c>
      <c r="F16" s="20">
        <f t="shared" si="0"/>
        <v>222853.97406807131</v>
      </c>
      <c r="G16" s="21">
        <f t="shared" si="11"/>
        <v>251853.97406807131</v>
      </c>
      <c r="H16" s="19">
        <f t="shared" si="12"/>
        <v>251853.97406807131</v>
      </c>
      <c r="I16" s="115">
        <f t="shared" si="13"/>
        <v>221962.55817179903</v>
      </c>
      <c r="J16" s="128">
        <f t="shared" si="14"/>
        <v>891.41589627228529</v>
      </c>
      <c r="K16" s="128">
        <v>6278.53</v>
      </c>
      <c r="L16" s="128">
        <f t="shared" si="1"/>
        <v>228241.08817179903</v>
      </c>
      <c r="M16" s="18">
        <v>15</v>
      </c>
      <c r="N16" s="19">
        <f t="shared" si="2"/>
        <v>5595</v>
      </c>
      <c r="O16" s="22"/>
      <c r="P16" s="19">
        <f t="shared" si="3"/>
        <v>0</v>
      </c>
      <c r="Q16" s="18">
        <f t="shared" si="4"/>
        <v>146</v>
      </c>
      <c r="R16" s="19">
        <f t="shared" si="5"/>
        <v>3650</v>
      </c>
      <c r="S16" s="19"/>
      <c r="T16" s="19">
        <f t="shared" si="6"/>
        <v>0</v>
      </c>
      <c r="U16" s="23"/>
      <c r="V16" s="23">
        <f t="shared" si="7"/>
        <v>0</v>
      </c>
      <c r="W16" s="31">
        <v>66</v>
      </c>
      <c r="X16" s="19">
        <f t="shared" si="16"/>
        <v>4752</v>
      </c>
      <c r="Y16" s="19">
        <v>146</v>
      </c>
      <c r="Z16" s="77">
        <f t="shared" si="8"/>
        <v>84680</v>
      </c>
      <c r="AA16" s="171">
        <f t="shared" si="15"/>
        <v>355918.08817179903</v>
      </c>
      <c r="AB16" s="169">
        <f>'бр. деца'!AF17</f>
        <v>0</v>
      </c>
      <c r="AC16" s="169">
        <f>'бр. деца'!AG17</f>
        <v>0</v>
      </c>
      <c r="AD16" s="169" t="e">
        <f>'бр. деца'!AH17</f>
        <v>#REF!</v>
      </c>
      <c r="AE16" s="169" t="e">
        <f>'бр. деца'!AI17</f>
        <v>#REF!</v>
      </c>
      <c r="AF16" s="169" t="e">
        <f>'бр. деца'!AJ17</f>
        <v>#REF!</v>
      </c>
      <c r="AG16" s="169" t="e">
        <f>'бр. деца'!AK17</f>
        <v>#REF!</v>
      </c>
      <c r="AH16" s="169" t="e">
        <f>'бр. деца'!AL17</f>
        <v>#REF!</v>
      </c>
      <c r="AI16" s="169" t="e">
        <f>'бр. деца'!AM17</f>
        <v>#REF!</v>
      </c>
      <c r="AJ16" s="169" t="e">
        <f>'бр. деца'!AN17</f>
        <v>#REF!</v>
      </c>
      <c r="AK16" s="169" t="e">
        <f>'бр. деца'!AO17</f>
        <v>#REF!</v>
      </c>
      <c r="AL16" s="169" t="e">
        <f>'бр. деца'!AP17</f>
        <v>#REF!</v>
      </c>
      <c r="AM16" s="169" t="e">
        <f>'бр. деца'!AQ17</f>
        <v>#REF!</v>
      </c>
      <c r="AN16" s="169" t="e">
        <f>'бр. деца'!AR17</f>
        <v>#REF!</v>
      </c>
      <c r="AO16" s="26">
        <f t="shared" si="9"/>
        <v>5387.1141037277148</v>
      </c>
      <c r="AP16" s="27"/>
    </row>
    <row r="17" spans="1:42" ht="25.5" customHeight="1" x14ac:dyDescent="0.2">
      <c r="A17" s="91">
        <v>9</v>
      </c>
      <c r="B17" s="129" t="s">
        <v>23</v>
      </c>
      <c r="C17" s="81">
        <v>49</v>
      </c>
      <c r="D17" s="82">
        <f t="shared" si="10"/>
        <v>78939</v>
      </c>
      <c r="E17" s="82">
        <v>29000</v>
      </c>
      <c r="F17" s="83">
        <f t="shared" si="0"/>
        <v>74793.457050243116</v>
      </c>
      <c r="G17" s="84">
        <f t="shared" si="11"/>
        <v>103793.45705024312</v>
      </c>
      <c r="H17" s="82">
        <f t="shared" si="12"/>
        <v>103793.45705024312</v>
      </c>
      <c r="I17" s="115">
        <f t="shared" si="13"/>
        <v>74494.283222042141</v>
      </c>
      <c r="J17" s="128">
        <f t="shared" si="14"/>
        <v>299.17382820097248</v>
      </c>
      <c r="K17" s="128">
        <v>6278.53</v>
      </c>
      <c r="L17" s="128">
        <f t="shared" si="1"/>
        <v>80772.813222042139</v>
      </c>
      <c r="M17" s="81">
        <v>11</v>
      </c>
      <c r="N17" s="82">
        <f t="shared" si="2"/>
        <v>4103</v>
      </c>
      <c r="O17" s="85"/>
      <c r="P17" s="82">
        <f t="shared" si="3"/>
        <v>0</v>
      </c>
      <c r="Q17" s="81">
        <f t="shared" si="4"/>
        <v>49</v>
      </c>
      <c r="R17" s="82">
        <f t="shared" si="5"/>
        <v>1225</v>
      </c>
      <c r="S17" s="82"/>
      <c r="T17" s="82">
        <f t="shared" si="6"/>
        <v>0</v>
      </c>
      <c r="U17" s="86"/>
      <c r="V17" s="86">
        <f t="shared" si="7"/>
        <v>0</v>
      </c>
      <c r="W17" s="92">
        <v>25</v>
      </c>
      <c r="X17" s="82">
        <f t="shared" si="16"/>
        <v>1800</v>
      </c>
      <c r="Y17" s="82">
        <v>43</v>
      </c>
      <c r="Z17" s="89">
        <f t="shared" si="8"/>
        <v>24940</v>
      </c>
      <c r="AA17" s="171">
        <f t="shared" si="15"/>
        <v>141840.81322204214</v>
      </c>
      <c r="AB17" s="173">
        <f>'бр. деца'!AF18</f>
        <v>9</v>
      </c>
      <c r="AC17" s="173">
        <f>'бр. деца'!AG18</f>
        <v>2934</v>
      </c>
      <c r="AD17" s="173" t="e">
        <f>'бр. деца'!AH18</f>
        <v>#REF!</v>
      </c>
      <c r="AE17" s="173" t="e">
        <f>'бр. деца'!AI18</f>
        <v>#REF!</v>
      </c>
      <c r="AF17" s="173" t="e">
        <f>'бр. деца'!AJ18</f>
        <v>#REF!</v>
      </c>
      <c r="AG17" s="173" t="e">
        <f>'бр. деца'!AK18</f>
        <v>#REF!</v>
      </c>
      <c r="AH17" s="173" t="e">
        <f>'бр. деца'!AL18</f>
        <v>#REF!</v>
      </c>
      <c r="AI17" s="173" t="e">
        <f>'бр. деца'!AM18</f>
        <v>#REF!</v>
      </c>
      <c r="AJ17" s="173" t="e">
        <f>'бр. деца'!AN18</f>
        <v>#REF!</v>
      </c>
      <c r="AK17" s="173" t="e">
        <f>'бр. деца'!AO18</f>
        <v>#REF!</v>
      </c>
      <c r="AL17" s="173" t="e">
        <f>'бр. деца'!AP18</f>
        <v>#REF!</v>
      </c>
      <c r="AM17" s="173" t="e">
        <f>'бр. деца'!AQ18</f>
        <v>#REF!</v>
      </c>
      <c r="AN17" s="173" t="e">
        <f>'бр. деца'!AR18</f>
        <v>#REF!</v>
      </c>
      <c r="AO17" s="26">
        <f t="shared" si="9"/>
        <v>5979.3561717990269</v>
      </c>
      <c r="AP17" s="27"/>
    </row>
    <row r="18" spans="1:42" ht="18" customHeight="1" x14ac:dyDescent="0.2">
      <c r="A18" s="272" t="s">
        <v>24</v>
      </c>
      <c r="B18" s="273"/>
      <c r="C18" s="96">
        <f t="shared" ref="C18:H18" si="17">SUM(C9:C17)</f>
        <v>3085</v>
      </c>
      <c r="D18" s="97">
        <f t="shared" si="17"/>
        <v>4969935</v>
      </c>
      <c r="E18" s="97">
        <f>SUM(E9:E17)</f>
        <v>261000</v>
      </c>
      <c r="F18" s="98">
        <f t="shared" si="17"/>
        <v>4708935</v>
      </c>
      <c r="G18" s="99">
        <f t="shared" si="17"/>
        <v>4969935</v>
      </c>
      <c r="H18" s="97">
        <f t="shared" si="17"/>
        <v>4969935</v>
      </c>
      <c r="I18" s="97">
        <f>SUM(I9:I17)</f>
        <v>4690099.2600000007</v>
      </c>
      <c r="J18" s="97">
        <f>SUM(J9:J17)</f>
        <v>18835.740000000002</v>
      </c>
      <c r="K18" s="97">
        <f>SUM(K9:K17)</f>
        <v>18835.59</v>
      </c>
      <c r="L18" s="128">
        <f t="shared" si="1"/>
        <v>4708934.8500000006</v>
      </c>
      <c r="M18" s="96">
        <f>SUM(M9:M17)</f>
        <v>73</v>
      </c>
      <c r="N18" s="97">
        <f t="shared" ref="N18:Z18" si="18">SUM(N9:N17)</f>
        <v>27229</v>
      </c>
      <c r="O18" s="96">
        <f t="shared" si="18"/>
        <v>2</v>
      </c>
      <c r="P18" s="96">
        <f t="shared" si="18"/>
        <v>6140</v>
      </c>
      <c r="Q18" s="97">
        <f t="shared" si="18"/>
        <v>3085</v>
      </c>
      <c r="R18" s="97">
        <f>SUM(R9:R17)</f>
        <v>77125</v>
      </c>
      <c r="S18" s="97">
        <f>SUM(S9:S17)</f>
        <v>4</v>
      </c>
      <c r="T18" s="97">
        <f>SUM(T9:T17)</f>
        <v>3448</v>
      </c>
      <c r="U18" s="100">
        <f>SUM(U9:U17)</f>
        <v>525</v>
      </c>
      <c r="V18" s="100">
        <f t="shared" si="18"/>
        <v>45675</v>
      </c>
      <c r="W18" s="100">
        <f t="shared" si="18"/>
        <v>1323</v>
      </c>
      <c r="X18" s="97">
        <f t="shared" si="18"/>
        <v>95256</v>
      </c>
      <c r="Y18" s="97">
        <f t="shared" si="18"/>
        <v>1675</v>
      </c>
      <c r="Z18" s="101">
        <f t="shared" si="18"/>
        <v>971500</v>
      </c>
      <c r="AA18" s="171">
        <f t="shared" si="15"/>
        <v>6196307.8500000006</v>
      </c>
      <c r="AB18" s="174">
        <f>'бр. деца'!AF19</f>
        <v>124</v>
      </c>
      <c r="AC18" s="174">
        <f>'бр. деца'!AG19</f>
        <v>40424</v>
      </c>
      <c r="AD18" s="174" t="e">
        <f>'бр. деца'!AH19</f>
        <v>#REF!</v>
      </c>
      <c r="AE18" s="174" t="e">
        <f>'бр. деца'!AI19</f>
        <v>#REF!</v>
      </c>
      <c r="AF18" s="174" t="e">
        <f>'бр. деца'!AJ19</f>
        <v>#REF!</v>
      </c>
      <c r="AG18" s="174" t="e">
        <f>'бр. деца'!AK19</f>
        <v>#REF!</v>
      </c>
      <c r="AH18" s="174" t="e">
        <f>'бр. деца'!AL19</f>
        <v>#REF!</v>
      </c>
      <c r="AI18" s="174" t="e">
        <f>'бр. деца'!AM19</f>
        <v>#REF!</v>
      </c>
      <c r="AJ18" s="174" t="e">
        <f>'бр. деца'!AN19</f>
        <v>#REF!</v>
      </c>
      <c r="AK18" s="174" t="e">
        <f>'бр. деца'!AO19</f>
        <v>#REF!</v>
      </c>
      <c r="AL18" s="174" t="e">
        <f>'бр. деца'!AP19</f>
        <v>#REF!</v>
      </c>
      <c r="AM18" s="174" t="e">
        <f>'бр. деца'!AQ19</f>
        <v>#REF!</v>
      </c>
      <c r="AN18" s="174" t="e">
        <f>'бр. деца'!AR19</f>
        <v>#REF!</v>
      </c>
      <c r="AO18" s="26">
        <f t="shared" si="9"/>
        <v>-0.15000000000145519</v>
      </c>
      <c r="AP18" s="27"/>
    </row>
    <row r="19" spans="1:42" ht="16.5" customHeight="1" x14ac:dyDescent="0.2">
      <c r="A19" s="33">
        <v>10</v>
      </c>
      <c r="B19" s="34" t="s">
        <v>25</v>
      </c>
      <c r="C19" s="35">
        <v>71</v>
      </c>
      <c r="D19" s="19">
        <f t="shared" si="10"/>
        <v>114381</v>
      </c>
      <c r="E19" s="35"/>
      <c r="F19" s="149"/>
      <c r="G19" s="35"/>
      <c r="H19" s="35">
        <f>C19*D8</f>
        <v>114381</v>
      </c>
      <c r="I19" s="35"/>
      <c r="J19" s="35"/>
      <c r="K19" s="35"/>
      <c r="L19" s="35"/>
      <c r="M19" s="35">
        <v>25</v>
      </c>
      <c r="N19" s="19">
        <f>M19*$N$8</f>
        <v>9325</v>
      </c>
      <c r="O19" s="35">
        <v>-1</v>
      </c>
      <c r="P19" s="19">
        <f>O19*$P$8</f>
        <v>-3070</v>
      </c>
      <c r="Q19" s="35">
        <v>71</v>
      </c>
      <c r="R19" s="19">
        <f>Q19*$R$8</f>
        <v>1775</v>
      </c>
      <c r="S19" s="35">
        <v>1</v>
      </c>
      <c r="T19" s="19">
        <f>S19*$T$8</f>
        <v>862</v>
      </c>
      <c r="U19" s="35">
        <v>-61</v>
      </c>
      <c r="V19" s="23">
        <f>U19*$V$8</f>
        <v>-5307</v>
      </c>
      <c r="W19" s="35">
        <v>-2</v>
      </c>
      <c r="X19" s="19">
        <f>W19*$X$8</f>
        <v>-144</v>
      </c>
      <c r="Y19" s="35">
        <v>16</v>
      </c>
      <c r="Z19" s="77">
        <f>Y19*$Z$8</f>
        <v>9280</v>
      </c>
      <c r="AA19" s="171">
        <f t="shared" si="15"/>
        <v>12721</v>
      </c>
      <c r="AB19" s="163">
        <f>'бр. деца'!AF20</f>
        <v>3</v>
      </c>
      <c r="AC19" s="163">
        <f>'бр. деца'!AG20</f>
        <v>978</v>
      </c>
      <c r="AD19" s="163" t="e">
        <f>'бр. деца'!AH20</f>
        <v>#REF!</v>
      </c>
      <c r="AE19" s="163" t="e">
        <f>'бр. деца'!AI20</f>
        <v>#REF!</v>
      </c>
      <c r="AF19" s="163" t="e">
        <f>'бр. деца'!AJ20</f>
        <v>#REF!</v>
      </c>
      <c r="AG19" s="163" t="e">
        <f>'бр. деца'!AK20</f>
        <v>#REF!</v>
      </c>
      <c r="AH19" s="163" t="e">
        <f>'бр. деца'!AL20</f>
        <v>#REF!</v>
      </c>
      <c r="AI19" s="163" t="e">
        <f>'бр. деца'!AM20</f>
        <v>#REF!</v>
      </c>
      <c r="AJ19" s="163" t="e">
        <f>'бр. деца'!AN20</f>
        <v>#REF!</v>
      </c>
      <c r="AK19" s="163" t="e">
        <f>'бр. деца'!AO20</f>
        <v>#REF!</v>
      </c>
      <c r="AL19" s="163" t="e">
        <f>'бр. деца'!AP20</f>
        <v>#REF!</v>
      </c>
      <c r="AM19" s="163" t="e">
        <f>'бр. деца'!AQ20</f>
        <v>#REF!</v>
      </c>
      <c r="AN19" s="163" t="e">
        <f>'бр. деца'!AR20</f>
        <v>#REF!</v>
      </c>
      <c r="AO19" s="26"/>
      <c r="AP19" s="36"/>
    </row>
    <row r="20" spans="1:42" ht="20.25" customHeight="1" thickBot="1" x14ac:dyDescent="0.25">
      <c r="A20" s="37"/>
      <c r="B20" s="38" t="s">
        <v>26</v>
      </c>
      <c r="C20" s="39">
        <f>C18+C19</f>
        <v>3156</v>
      </c>
      <c r="D20" s="39">
        <f>D18+D19</f>
        <v>5084316</v>
      </c>
      <c r="E20" s="40"/>
      <c r="F20" s="150"/>
      <c r="G20" s="41">
        <f t="shared" ref="G20:Z20" si="19">G18+G19</f>
        <v>4969935</v>
      </c>
      <c r="H20" s="40">
        <f t="shared" si="19"/>
        <v>5084316</v>
      </c>
      <c r="I20" s="40"/>
      <c r="J20" s="40"/>
      <c r="K20" s="40"/>
      <c r="L20" s="40"/>
      <c r="M20" s="40">
        <f t="shared" si="19"/>
        <v>98</v>
      </c>
      <c r="N20" s="40">
        <f t="shared" si="19"/>
        <v>36554</v>
      </c>
      <c r="O20" s="40">
        <f t="shared" si="19"/>
        <v>1</v>
      </c>
      <c r="P20" s="40">
        <f t="shared" si="19"/>
        <v>3070</v>
      </c>
      <c r="Q20" s="40">
        <f t="shared" si="19"/>
        <v>3156</v>
      </c>
      <c r="R20" s="40">
        <f t="shared" si="19"/>
        <v>78900</v>
      </c>
      <c r="S20" s="40">
        <f t="shared" si="19"/>
        <v>5</v>
      </c>
      <c r="T20" s="40">
        <f t="shared" si="19"/>
        <v>4310</v>
      </c>
      <c r="U20" s="40">
        <f t="shared" si="19"/>
        <v>464</v>
      </c>
      <c r="V20" s="40">
        <f t="shared" si="19"/>
        <v>40368</v>
      </c>
      <c r="W20" s="40">
        <f t="shared" si="19"/>
        <v>1321</v>
      </c>
      <c r="X20" s="40">
        <f t="shared" si="19"/>
        <v>95112</v>
      </c>
      <c r="Y20" s="40">
        <f t="shared" si="19"/>
        <v>1691</v>
      </c>
      <c r="Z20" s="42">
        <f t="shared" si="19"/>
        <v>980780</v>
      </c>
      <c r="AA20" s="171">
        <f>H20+N20+P20+R20+V20+X20+Z20+T20</f>
        <v>6323410</v>
      </c>
      <c r="AB20" s="163">
        <f>'бр. деца'!AF21</f>
        <v>127</v>
      </c>
      <c r="AC20" s="163">
        <f>'бр. деца'!AG21</f>
        <v>41402</v>
      </c>
      <c r="AD20" s="163" t="e">
        <f>'бр. деца'!AH21</f>
        <v>#REF!</v>
      </c>
      <c r="AE20" s="163" t="e">
        <f>'бр. деца'!AI21</f>
        <v>#REF!</v>
      </c>
      <c r="AF20" s="163" t="e">
        <f>'бр. деца'!AJ21</f>
        <v>#REF!</v>
      </c>
      <c r="AG20" s="163" t="e">
        <f>'бр. деца'!AK21</f>
        <v>#REF!</v>
      </c>
      <c r="AH20" s="163" t="e">
        <f>'бр. деца'!AL21</f>
        <v>#REF!</v>
      </c>
      <c r="AI20" s="163" t="e">
        <f>'бр. деца'!AM21</f>
        <v>#REF!</v>
      </c>
      <c r="AJ20" s="163" t="e">
        <f>'бр. деца'!AN21</f>
        <v>#REF!</v>
      </c>
      <c r="AK20" s="163" t="e">
        <f>'бр. деца'!AO21</f>
        <v>#REF!</v>
      </c>
      <c r="AL20" s="163" t="e">
        <f>'бр. деца'!AP21</f>
        <v>#REF!</v>
      </c>
      <c r="AM20" s="163" t="e">
        <f>'бр. деца'!AQ21</f>
        <v>#REF!</v>
      </c>
      <c r="AN20" s="163" t="e">
        <f>'бр. деца'!AR21</f>
        <v>#REF!</v>
      </c>
      <c r="AO20" s="26"/>
      <c r="AP20" s="36"/>
    </row>
    <row r="21" spans="1:42" ht="35.25" customHeight="1" x14ac:dyDescent="0.2">
      <c r="A21" s="43"/>
      <c r="B21" s="43"/>
      <c r="C21" s="44"/>
      <c r="D21" s="44"/>
      <c r="E21" s="44"/>
      <c r="F21" s="45">
        <f>D18-E18</f>
        <v>4708935</v>
      </c>
      <c r="G21" s="26"/>
      <c r="H21" s="26"/>
      <c r="I21" s="26"/>
      <c r="J21" s="26"/>
      <c r="K21" s="26"/>
      <c r="L21" s="26"/>
      <c r="M21" s="46"/>
      <c r="N21" s="46"/>
      <c r="O21" s="46"/>
      <c r="P21" s="46"/>
      <c r="Q21" s="46"/>
      <c r="R21" s="46"/>
      <c r="S21" s="46"/>
      <c r="T21" s="46"/>
      <c r="U21" s="44"/>
      <c r="V21" s="44"/>
      <c r="W21" s="26"/>
      <c r="X21" s="46"/>
      <c r="Y21" s="46"/>
      <c r="Z21" s="46"/>
      <c r="AA21" s="123">
        <f>SUM(AA9:AA17)</f>
        <v>6196307.8499999996</v>
      </c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47"/>
      <c r="AP21" s="6"/>
    </row>
    <row r="22" spans="1:42" ht="15.75" customHeight="1" x14ac:dyDescent="0.25">
      <c r="A22" s="43"/>
      <c r="B22" s="48"/>
      <c r="C22" s="296" t="s">
        <v>27</v>
      </c>
      <c r="D22" s="296"/>
      <c r="E22" s="48"/>
      <c r="F22" s="48"/>
      <c r="G22" s="48"/>
      <c r="H22" s="48"/>
      <c r="I22" s="48"/>
      <c r="J22" s="113"/>
      <c r="K22" s="48"/>
      <c r="L22" s="113"/>
      <c r="M22" s="48"/>
      <c r="N22" s="49"/>
      <c r="O22" s="49"/>
      <c r="P22" s="299"/>
      <c r="Q22" s="299"/>
      <c r="R22" s="299"/>
      <c r="S22" s="299"/>
      <c r="T22" s="299"/>
      <c r="U22" s="299"/>
      <c r="V22" s="299"/>
      <c r="W22" s="48"/>
      <c r="X22" s="300" t="s">
        <v>28</v>
      </c>
      <c r="Y22" s="300"/>
      <c r="Z22" s="300"/>
      <c r="AA22" s="300"/>
      <c r="AB22" s="147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</row>
    <row r="23" spans="1:42" ht="15.75" customHeight="1" x14ac:dyDescent="0.25">
      <c r="A23" s="43"/>
      <c r="B23" s="48"/>
      <c r="C23" s="48"/>
      <c r="D23" s="142"/>
      <c r="E23" s="48"/>
      <c r="F23" s="48"/>
      <c r="G23" s="48"/>
      <c r="H23" s="48"/>
      <c r="I23" s="109"/>
      <c r="J23" s="48"/>
      <c r="K23" s="48"/>
      <c r="L23" s="110"/>
      <c r="M23" s="48"/>
      <c r="N23" s="49"/>
      <c r="O23" s="49"/>
      <c r="P23" s="49"/>
      <c r="Q23" s="51"/>
      <c r="R23" s="48"/>
      <c r="S23" s="48"/>
      <c r="T23" s="48"/>
      <c r="U23" s="48"/>
      <c r="V23" s="48"/>
      <c r="W23" s="48"/>
      <c r="X23" s="50"/>
      <c r="Y23" s="50"/>
      <c r="Z23" s="295"/>
      <c r="AA23" s="295"/>
      <c r="AB23" s="145"/>
      <c r="AC23" s="145"/>
      <c r="AD23" s="145"/>
      <c r="AE23" s="145"/>
      <c r="AF23" s="145"/>
      <c r="AG23" s="145"/>
      <c r="AH23" s="145"/>
      <c r="AI23" s="145"/>
      <c r="AJ23" s="145"/>
      <c r="AK23" s="145"/>
      <c r="AL23" s="145"/>
      <c r="AM23" s="145"/>
      <c r="AN23" s="145"/>
    </row>
    <row r="24" spans="1:42" ht="7.5" customHeight="1" x14ac:dyDescent="0.2"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296"/>
      <c r="R24" s="296"/>
      <c r="S24" s="296"/>
      <c r="T24" s="296"/>
      <c r="U24" s="296"/>
      <c r="V24" s="296"/>
      <c r="W24" s="296"/>
      <c r="X24" s="52"/>
      <c r="Y24" s="52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</row>
    <row r="25" spans="1:42" ht="27" customHeight="1" x14ac:dyDescent="0.25"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2"/>
      <c r="N25" s="52"/>
      <c r="O25" s="52"/>
      <c r="P25" s="52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146"/>
      <c r="AC25" s="146"/>
      <c r="AD25" s="146"/>
      <c r="AE25" s="146"/>
      <c r="AF25" s="146"/>
      <c r="AG25" s="146"/>
      <c r="AH25" s="146"/>
      <c r="AI25" s="146"/>
      <c r="AJ25" s="146"/>
      <c r="AK25" s="146"/>
      <c r="AL25" s="146"/>
      <c r="AM25" s="146"/>
      <c r="AN25" s="146"/>
    </row>
    <row r="26" spans="1:42" ht="20.25" customHeight="1" x14ac:dyDescent="0.25">
      <c r="A26" s="10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4"/>
      <c r="N26" s="54"/>
      <c r="O26" s="54"/>
      <c r="P26" s="54"/>
      <c r="Q26" s="55"/>
      <c r="R26" s="298"/>
      <c r="S26" s="298"/>
      <c r="T26" s="298"/>
      <c r="U26" s="298"/>
      <c r="V26" s="298"/>
      <c r="W26" s="298"/>
      <c r="X26" s="298"/>
      <c r="Y26" s="298"/>
      <c r="Z26" s="298"/>
      <c r="AA26" s="298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</row>
    <row r="27" spans="1:42" ht="15.75" customHeight="1" x14ac:dyDescent="0.2">
      <c r="A27" s="10"/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294"/>
      <c r="X27" s="294"/>
      <c r="Y27" s="294"/>
      <c r="Z27" s="294"/>
      <c r="AA27" s="29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</row>
    <row r="28" spans="1:42" x14ac:dyDescent="0.2">
      <c r="A28" s="10"/>
      <c r="B28" s="58"/>
      <c r="C28" s="59"/>
      <c r="D28" s="59"/>
      <c r="E28" s="59"/>
      <c r="F28" s="60"/>
      <c r="G28" s="61"/>
      <c r="H28" s="61"/>
      <c r="I28" s="61"/>
      <c r="J28" s="61"/>
      <c r="K28" s="61"/>
      <c r="L28" s="61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  <c r="AI28" s="62"/>
      <c r="AJ28" s="62"/>
      <c r="AK28" s="62"/>
      <c r="AL28" s="62"/>
      <c r="AM28" s="62"/>
      <c r="AN28" s="62"/>
    </row>
    <row r="29" spans="1:42" x14ac:dyDescent="0.2">
      <c r="A29" s="63"/>
      <c r="B29" s="58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</row>
    <row r="30" spans="1:42" x14ac:dyDescent="0.2">
      <c r="A30" s="64"/>
      <c r="B30" s="58"/>
      <c r="C30" s="65"/>
      <c r="D30" s="59"/>
      <c r="E30" s="59"/>
      <c r="F30" s="65"/>
      <c r="G30" s="65"/>
      <c r="H30" s="65"/>
      <c r="I30" s="65"/>
      <c r="J30" s="65"/>
      <c r="K30" s="65"/>
      <c r="L30" s="65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  <c r="AD30" s="62"/>
      <c r="AE30" s="62"/>
      <c r="AF30" s="62"/>
      <c r="AG30" s="62"/>
      <c r="AH30" s="62"/>
      <c r="AI30" s="62"/>
      <c r="AJ30" s="62"/>
      <c r="AK30" s="62"/>
      <c r="AL30" s="62"/>
      <c r="AM30" s="62"/>
      <c r="AN30" s="62"/>
    </row>
    <row r="31" spans="1:42" x14ac:dyDescent="0.2">
      <c r="A31" s="64"/>
      <c r="B31" s="66"/>
      <c r="C31" s="47"/>
      <c r="D31" s="47"/>
      <c r="E31" s="47"/>
      <c r="F31" s="9"/>
      <c r="G31" s="67"/>
      <c r="H31" s="67"/>
      <c r="I31" s="67"/>
      <c r="J31" s="67"/>
      <c r="K31" s="67"/>
      <c r="L31" s="67"/>
    </row>
    <row r="32" spans="1:42" x14ac:dyDescent="0.2">
      <c r="A32" s="6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3" x14ac:dyDescent="0.2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3" x14ac:dyDescent="0.2">
      <c r="A34" s="64"/>
      <c r="B34" s="68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3" x14ac:dyDescent="0.2">
      <c r="A35" s="63"/>
      <c r="B35" s="68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3" x14ac:dyDescent="0.2">
      <c r="A36" s="64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3" x14ac:dyDescent="0.2">
      <c r="A37" s="64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3" x14ac:dyDescent="0.2">
      <c r="A38" s="6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3" x14ac:dyDescent="0.2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3" x14ac:dyDescent="0.2">
      <c r="A40" s="43"/>
      <c r="B40" s="43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spans="1:13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3" x14ac:dyDescent="0.2">
      <c r="A42" s="69"/>
      <c r="B42" s="69"/>
      <c r="C42" s="69"/>
      <c r="D42" s="47"/>
      <c r="E42" s="47"/>
      <c r="F42" s="47"/>
      <c r="G42" s="47"/>
      <c r="H42" s="47"/>
      <c r="I42" s="47"/>
      <c r="J42" s="47"/>
      <c r="K42" s="47"/>
      <c r="L42" s="47"/>
      <c r="M42" s="47"/>
    </row>
    <row r="43" spans="1:13" ht="6.75" customHeight="1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</row>
    <row r="44" spans="1:13" ht="5.25" customHeight="1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</row>
    <row r="45" spans="1:13" x14ac:dyDescent="0.2">
      <c r="A45" s="67"/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47"/>
    </row>
    <row r="46" spans="1:13" x14ac:dyDescent="0.2">
      <c r="A46" s="67"/>
      <c r="B46" s="67"/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47"/>
    </row>
    <row r="47" spans="1:13" x14ac:dyDescent="0.2">
      <c r="A47" s="67"/>
      <c r="B47" s="67"/>
      <c r="C47" s="47"/>
      <c r="D47" s="47"/>
      <c r="E47" s="47"/>
      <c r="F47" s="70"/>
      <c r="G47" s="67"/>
      <c r="H47" s="67"/>
      <c r="I47" s="67"/>
      <c r="J47" s="67"/>
      <c r="K47" s="67"/>
      <c r="L47" s="67"/>
      <c r="M47" s="47"/>
    </row>
    <row r="48" spans="1:13" x14ac:dyDescent="0.2">
      <c r="A48" s="71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</row>
    <row r="49" spans="1:13" x14ac:dyDescent="0.2">
      <c r="A49" s="72"/>
      <c r="B49" s="73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</row>
    <row r="50" spans="1:13" x14ac:dyDescent="0.2">
      <c r="A50" s="72"/>
      <c r="B50" s="73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</row>
    <row r="51" spans="1:13" x14ac:dyDescent="0.2">
      <c r="A51" s="71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</row>
    <row r="52" spans="1:13" x14ac:dyDescent="0.2">
      <c r="A52" s="71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</row>
    <row r="53" spans="1:13" x14ac:dyDescent="0.2">
      <c r="A53" s="72"/>
      <c r="B53" s="73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</row>
    <row r="54" spans="1:13" x14ac:dyDescent="0.2">
      <c r="A54" s="72"/>
      <c r="B54" s="73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</row>
    <row r="55" spans="1:13" x14ac:dyDescent="0.2">
      <c r="A55" s="71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</row>
    <row r="56" spans="1:13" x14ac:dyDescent="0.2">
      <c r="A56" s="71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</row>
    <row r="57" spans="1:13" x14ac:dyDescent="0.2">
      <c r="A57" s="72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</row>
    <row r="58" spans="1:13" x14ac:dyDescent="0.2">
      <c r="A58" s="72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</row>
    <row r="59" spans="1:13" x14ac:dyDescent="0.2">
      <c r="A59" s="71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</row>
    <row r="60" spans="1:13" x14ac:dyDescent="0.2">
      <c r="A60" s="71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</row>
    <row r="61" spans="1:13" x14ac:dyDescent="0.2">
      <c r="A61" s="72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</row>
    <row r="62" spans="1:13" x14ac:dyDescent="0.2">
      <c r="A62" s="72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</row>
    <row r="63" spans="1:13" x14ac:dyDescent="0.2">
      <c r="A63" s="74"/>
      <c r="B63" s="7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7"/>
    </row>
    <row r="64" spans="1:13" ht="6.75" customHeight="1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</row>
    <row r="65" spans="1:13" x14ac:dyDescent="0.2">
      <c r="A65" s="69"/>
      <c r="B65" s="69"/>
      <c r="C65" s="69"/>
      <c r="D65" s="47"/>
      <c r="E65" s="47"/>
      <c r="F65" s="47"/>
      <c r="G65" s="47"/>
      <c r="H65" s="47"/>
      <c r="I65" s="47"/>
      <c r="J65" s="47"/>
      <c r="K65" s="47"/>
      <c r="L65" s="47"/>
      <c r="M65" s="47"/>
    </row>
    <row r="66" spans="1:13" x14ac:dyDescent="0.2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</row>
    <row r="67" spans="1:13" x14ac:dyDescent="0.2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47"/>
    </row>
    <row r="68" spans="1:13" x14ac:dyDescent="0.2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47"/>
    </row>
    <row r="69" spans="1:13" x14ac:dyDescent="0.2">
      <c r="A69" s="67"/>
      <c r="B69" s="67"/>
      <c r="C69" s="47"/>
      <c r="D69" s="47"/>
      <c r="E69" s="47"/>
      <c r="F69" s="70"/>
      <c r="G69" s="67"/>
      <c r="H69" s="67"/>
      <c r="I69" s="67"/>
      <c r="J69" s="67"/>
      <c r="K69" s="67"/>
      <c r="L69" s="67"/>
      <c r="M69" s="47"/>
    </row>
    <row r="70" spans="1:13" x14ac:dyDescent="0.2">
      <c r="A70" s="71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</row>
    <row r="71" spans="1:13" x14ac:dyDescent="0.2">
      <c r="A71" s="72"/>
      <c r="B71" s="73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</row>
    <row r="72" spans="1:13" x14ac:dyDescent="0.2">
      <c r="A72" s="72"/>
      <c r="B72" s="73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</row>
    <row r="73" spans="1:13" x14ac:dyDescent="0.2">
      <c r="A73" s="71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</row>
    <row r="74" spans="1:13" x14ac:dyDescent="0.2">
      <c r="A74" s="71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</row>
    <row r="75" spans="1:13" x14ac:dyDescent="0.2">
      <c r="A75" s="72"/>
      <c r="B75" s="73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</row>
    <row r="76" spans="1:13" x14ac:dyDescent="0.2">
      <c r="A76" s="72"/>
      <c r="B76" s="73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</row>
    <row r="77" spans="1:13" x14ac:dyDescent="0.2">
      <c r="A77" s="71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</row>
    <row r="78" spans="1:13" x14ac:dyDescent="0.2">
      <c r="A78" s="71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</row>
    <row r="79" spans="1:13" x14ac:dyDescent="0.2">
      <c r="A79" s="72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</row>
    <row r="80" spans="1:13" x14ac:dyDescent="0.2">
      <c r="A80" s="72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</row>
    <row r="81" spans="1:13" x14ac:dyDescent="0.2">
      <c r="A81" s="71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</row>
    <row r="82" spans="1:13" x14ac:dyDescent="0.2">
      <c r="A82" s="71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</row>
    <row r="83" spans="1:13" x14ac:dyDescent="0.2">
      <c r="A83" s="72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</row>
    <row r="84" spans="1:13" x14ac:dyDescent="0.2">
      <c r="A84" s="72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</row>
    <row r="85" spans="1:13" x14ac:dyDescent="0.2">
      <c r="A85" s="74"/>
      <c r="B85" s="7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7"/>
    </row>
    <row r="86" spans="1:13" x14ac:dyDescent="0.2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</row>
    <row r="87" spans="1:13" x14ac:dyDescent="0.2">
      <c r="A87" s="69"/>
      <c r="B87" s="69"/>
      <c r="C87" s="69"/>
      <c r="D87" s="47"/>
      <c r="E87" s="47"/>
      <c r="F87" s="47"/>
      <c r="G87" s="47"/>
      <c r="H87" s="47"/>
      <c r="I87" s="47"/>
      <c r="J87" s="47"/>
      <c r="K87" s="47"/>
      <c r="L87" s="47"/>
      <c r="M87" s="47"/>
    </row>
    <row r="88" spans="1:13" x14ac:dyDescent="0.2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</row>
    <row r="89" spans="1:13" x14ac:dyDescent="0.2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</row>
    <row r="90" spans="1:13" x14ac:dyDescent="0.2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</row>
    <row r="91" spans="1:13" x14ac:dyDescent="0.2">
      <c r="A91" s="67"/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47"/>
    </row>
    <row r="92" spans="1:13" x14ac:dyDescent="0.2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47"/>
    </row>
    <row r="93" spans="1:13" x14ac:dyDescent="0.2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47"/>
    </row>
    <row r="94" spans="1:13" x14ac:dyDescent="0.2">
      <c r="A94" s="71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</row>
    <row r="95" spans="1:13" x14ac:dyDescent="0.2">
      <c r="A95" s="72"/>
      <c r="B95" s="73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</row>
    <row r="96" spans="1:13" x14ac:dyDescent="0.2">
      <c r="A96" s="72"/>
      <c r="B96" s="73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</row>
    <row r="97" spans="1:13" x14ac:dyDescent="0.2">
      <c r="A97" s="71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</row>
    <row r="98" spans="1:13" x14ac:dyDescent="0.2">
      <c r="A98" s="71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</row>
    <row r="99" spans="1:13" x14ac:dyDescent="0.2">
      <c r="A99" s="72"/>
      <c r="B99" s="73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</row>
    <row r="100" spans="1:13" x14ac:dyDescent="0.2">
      <c r="A100" s="72"/>
      <c r="B100" s="73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</row>
    <row r="101" spans="1:13" x14ac:dyDescent="0.2">
      <c r="A101" s="71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</row>
    <row r="102" spans="1:13" x14ac:dyDescent="0.2">
      <c r="A102" s="71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</row>
    <row r="103" spans="1:13" x14ac:dyDescent="0.2">
      <c r="A103" s="72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</row>
    <row r="104" spans="1:13" x14ac:dyDescent="0.2">
      <c r="A104" s="72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</row>
    <row r="105" spans="1:13" x14ac:dyDescent="0.2">
      <c r="A105" s="71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</row>
    <row r="106" spans="1:13" x14ac:dyDescent="0.2">
      <c r="A106" s="71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</row>
    <row r="107" spans="1:13" x14ac:dyDescent="0.2">
      <c r="A107" s="72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</row>
    <row r="108" spans="1:13" x14ac:dyDescent="0.2">
      <c r="A108" s="72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</row>
    <row r="109" spans="1:13" x14ac:dyDescent="0.2">
      <c r="A109" s="74"/>
      <c r="B109" s="7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7"/>
    </row>
    <row r="110" spans="1:13" x14ac:dyDescent="0.2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</row>
    <row r="111" spans="1:13" x14ac:dyDescent="0.2">
      <c r="A111" s="69"/>
      <c r="B111" s="69"/>
      <c r="C111" s="69"/>
      <c r="D111" s="47"/>
      <c r="E111" s="47"/>
      <c r="F111" s="47"/>
      <c r="G111" s="47"/>
      <c r="H111" s="47"/>
      <c r="I111" s="47"/>
      <c r="J111" s="47"/>
      <c r="K111" s="47"/>
      <c r="L111" s="47"/>
      <c r="M111" s="47"/>
    </row>
    <row r="112" spans="1:13" x14ac:dyDescent="0.2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</row>
    <row r="113" spans="1:13" x14ac:dyDescent="0.2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47"/>
    </row>
    <row r="114" spans="1:13" x14ac:dyDescent="0.2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47"/>
    </row>
    <row r="115" spans="1:13" x14ac:dyDescent="0.2">
      <c r="A115" s="67"/>
      <c r="B115" s="67"/>
      <c r="C115" s="47"/>
      <c r="D115" s="47"/>
      <c r="E115" s="47"/>
      <c r="F115" s="70"/>
      <c r="G115" s="67"/>
      <c r="H115" s="67"/>
      <c r="I115" s="67"/>
      <c r="J115" s="67"/>
      <c r="K115" s="67"/>
      <c r="L115" s="67"/>
      <c r="M115" s="47"/>
    </row>
    <row r="116" spans="1:13" x14ac:dyDescent="0.2">
      <c r="A116" s="71"/>
      <c r="B116" s="47"/>
      <c r="C116" s="47"/>
      <c r="D116" s="47"/>
      <c r="E116" s="47"/>
      <c r="F116" s="75"/>
      <c r="G116" s="47"/>
      <c r="H116" s="47"/>
      <c r="I116" s="47"/>
      <c r="J116" s="47"/>
      <c r="K116" s="47"/>
      <c r="L116" s="47"/>
      <c r="M116" s="47"/>
    </row>
    <row r="117" spans="1:13" x14ac:dyDescent="0.2">
      <c r="A117" s="72"/>
      <c r="B117" s="73"/>
      <c r="C117" s="47"/>
      <c r="D117" s="47"/>
      <c r="E117" s="47"/>
      <c r="F117" s="75"/>
      <c r="G117" s="47"/>
      <c r="H117" s="47"/>
      <c r="I117" s="47"/>
      <c r="J117" s="47"/>
      <c r="K117" s="47"/>
      <c r="L117" s="47"/>
      <c r="M117" s="47"/>
    </row>
    <row r="118" spans="1:13" x14ac:dyDescent="0.2">
      <c r="A118" s="72"/>
      <c r="B118" s="73"/>
      <c r="C118" s="47"/>
      <c r="D118" s="47"/>
      <c r="E118" s="47"/>
      <c r="F118" s="75"/>
      <c r="G118" s="47"/>
      <c r="H118" s="47"/>
      <c r="I118" s="47"/>
      <c r="J118" s="47"/>
      <c r="K118" s="47"/>
      <c r="L118" s="47"/>
      <c r="M118" s="47"/>
    </row>
    <row r="119" spans="1:13" x14ac:dyDescent="0.2">
      <c r="A119" s="71"/>
      <c r="B119" s="47"/>
      <c r="C119" s="47"/>
      <c r="D119" s="47"/>
      <c r="E119" s="47"/>
      <c r="F119" s="75"/>
      <c r="G119" s="47"/>
      <c r="H119" s="47"/>
      <c r="I119" s="47"/>
      <c r="J119" s="47"/>
      <c r="K119" s="47"/>
      <c r="L119" s="47"/>
      <c r="M119" s="47"/>
    </row>
    <row r="120" spans="1:13" x14ac:dyDescent="0.2">
      <c r="A120" s="72"/>
      <c r="B120" s="47"/>
      <c r="C120" s="47"/>
      <c r="D120" s="47"/>
      <c r="E120" s="47"/>
      <c r="F120" s="75"/>
      <c r="G120" s="47"/>
      <c r="H120" s="47"/>
      <c r="I120" s="47"/>
      <c r="J120" s="47"/>
      <c r="K120" s="47"/>
      <c r="L120" s="47"/>
      <c r="M120" s="47"/>
    </row>
    <row r="121" spans="1:13" x14ac:dyDescent="0.2">
      <c r="A121" s="72"/>
      <c r="B121" s="73"/>
      <c r="C121" s="47"/>
      <c r="D121" s="47"/>
      <c r="E121" s="47"/>
      <c r="F121" s="75"/>
      <c r="G121" s="47"/>
      <c r="H121" s="47"/>
      <c r="I121" s="47"/>
      <c r="J121" s="47"/>
      <c r="K121" s="47"/>
      <c r="L121" s="47"/>
      <c r="M121" s="47"/>
    </row>
    <row r="122" spans="1:13" x14ac:dyDescent="0.2">
      <c r="A122" s="71"/>
      <c r="B122" s="73"/>
      <c r="C122" s="47"/>
      <c r="D122" s="47"/>
      <c r="E122" s="47"/>
      <c r="F122" s="75"/>
      <c r="G122" s="47"/>
      <c r="H122" s="47"/>
      <c r="I122" s="47"/>
      <c r="J122" s="47"/>
      <c r="K122" s="47"/>
      <c r="L122" s="47"/>
      <c r="M122" s="47"/>
    </row>
    <row r="123" spans="1:13" x14ac:dyDescent="0.2">
      <c r="A123" s="72"/>
      <c r="B123" s="47"/>
      <c r="C123" s="47"/>
      <c r="D123" s="47"/>
      <c r="E123" s="47"/>
      <c r="F123" s="75"/>
      <c r="G123" s="47"/>
      <c r="H123" s="47"/>
      <c r="I123" s="47"/>
      <c r="J123" s="47"/>
      <c r="K123" s="47"/>
      <c r="L123" s="47"/>
      <c r="M123" s="47"/>
    </row>
    <row r="124" spans="1:13" x14ac:dyDescent="0.2">
      <c r="A124" s="72"/>
      <c r="B124" s="47"/>
      <c r="C124" s="47"/>
      <c r="D124" s="47"/>
      <c r="E124" s="47"/>
      <c r="F124" s="75"/>
      <c r="G124" s="47"/>
      <c r="H124" s="47"/>
      <c r="I124" s="47"/>
      <c r="J124" s="47"/>
      <c r="K124" s="47"/>
      <c r="L124" s="47"/>
      <c r="M124" s="47"/>
    </row>
    <row r="125" spans="1:13" x14ac:dyDescent="0.2">
      <c r="A125" s="71"/>
      <c r="B125" s="47"/>
      <c r="C125" s="47"/>
      <c r="D125" s="47"/>
      <c r="E125" s="47"/>
      <c r="F125" s="75"/>
      <c r="G125" s="47"/>
      <c r="H125" s="47"/>
      <c r="I125" s="47"/>
      <c r="J125" s="47"/>
      <c r="K125" s="47"/>
      <c r="L125" s="47"/>
      <c r="M125" s="47"/>
    </row>
    <row r="126" spans="1:13" x14ac:dyDescent="0.2">
      <c r="A126" s="72"/>
      <c r="B126" s="47"/>
      <c r="C126" s="47"/>
      <c r="D126" s="47"/>
      <c r="E126" s="47"/>
      <c r="F126" s="75"/>
      <c r="G126" s="47"/>
      <c r="H126" s="47"/>
      <c r="I126" s="47"/>
      <c r="J126" s="47"/>
      <c r="K126" s="47"/>
      <c r="L126" s="47"/>
      <c r="M126" s="47"/>
    </row>
    <row r="127" spans="1:13" x14ac:dyDescent="0.2">
      <c r="A127" s="74"/>
      <c r="B127" s="7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7"/>
    </row>
    <row r="128" spans="1:13" x14ac:dyDescent="0.2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</row>
    <row r="129" spans="1:13" x14ac:dyDescent="0.2">
      <c r="A129" s="69"/>
      <c r="B129" s="69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</row>
    <row r="130" spans="1:13" x14ac:dyDescent="0.2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</row>
    <row r="131" spans="1:13" x14ac:dyDescent="0.2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</row>
    <row r="132" spans="1:13" x14ac:dyDescent="0.2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</row>
    <row r="133" spans="1:13" x14ac:dyDescent="0.2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</row>
    <row r="134" spans="1:13" x14ac:dyDescent="0.2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</row>
    <row r="135" spans="1:13" x14ac:dyDescent="0.2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</row>
    <row r="136" spans="1:13" x14ac:dyDescent="0.2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</row>
    <row r="137" spans="1:13" x14ac:dyDescent="0.2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</row>
    <row r="138" spans="1:13" x14ac:dyDescent="0.2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</row>
    <row r="139" spans="1:13" x14ac:dyDescent="0.2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</row>
    <row r="140" spans="1:13" x14ac:dyDescent="0.2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</row>
    <row r="141" spans="1:13" x14ac:dyDescent="0.2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</row>
    <row r="142" spans="1:13" x14ac:dyDescent="0.2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</row>
    <row r="143" spans="1:13" x14ac:dyDescent="0.2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</row>
    <row r="144" spans="1:13" x14ac:dyDescent="0.2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</row>
    <row r="145" spans="1:13" x14ac:dyDescent="0.2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</row>
    <row r="146" spans="1:13" x14ac:dyDescent="0.2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</row>
    <row r="147" spans="1:13" x14ac:dyDescent="0.2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</row>
    <row r="148" spans="1:13" x14ac:dyDescent="0.2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</row>
    <row r="149" spans="1:13" x14ac:dyDescent="0.2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</row>
    <row r="150" spans="1:13" x14ac:dyDescent="0.2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</row>
    <row r="151" spans="1:13" x14ac:dyDescent="0.2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</row>
    <row r="152" spans="1:13" x14ac:dyDescent="0.2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</row>
    <row r="153" spans="1:13" x14ac:dyDescent="0.2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</row>
    <row r="154" spans="1:13" x14ac:dyDescent="0.2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</row>
    <row r="155" spans="1:13" x14ac:dyDescent="0.2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</row>
    <row r="156" spans="1:13" x14ac:dyDescent="0.2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</row>
    <row r="157" spans="1:13" x14ac:dyDescent="0.2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</row>
    <row r="158" spans="1:13" x14ac:dyDescent="0.2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</row>
    <row r="159" spans="1:13" x14ac:dyDescent="0.2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</row>
    <row r="160" spans="1:13" x14ac:dyDescent="0.2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</row>
    <row r="161" spans="1:13" x14ac:dyDescent="0.2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</row>
    <row r="162" spans="1:13" x14ac:dyDescent="0.2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</row>
    <row r="163" spans="1:13" x14ac:dyDescent="0.2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x14ac:dyDescent="0.2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</row>
    <row r="165" spans="1:13" x14ac:dyDescent="0.2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</row>
    <row r="166" spans="1:13" x14ac:dyDescent="0.2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</row>
    <row r="167" spans="1:13" x14ac:dyDescent="0.2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</row>
    <row r="168" spans="1:13" x14ac:dyDescent="0.2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</row>
    <row r="169" spans="1:13" x14ac:dyDescent="0.2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</row>
    <row r="170" spans="1:13" x14ac:dyDescent="0.2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</row>
    <row r="171" spans="1:13" x14ac:dyDescent="0.2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</row>
    <row r="172" spans="1:13" x14ac:dyDescent="0.2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</row>
    <row r="173" spans="1:13" x14ac:dyDescent="0.2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</row>
    <row r="174" spans="1:13" x14ac:dyDescent="0.2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</row>
    <row r="175" spans="1:13" x14ac:dyDescent="0.2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</row>
    <row r="176" spans="1:13" x14ac:dyDescent="0.2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</row>
    <row r="177" spans="1:13" x14ac:dyDescent="0.2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</row>
    <row r="178" spans="1:13" x14ac:dyDescent="0.2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</row>
    <row r="179" spans="1:13" x14ac:dyDescent="0.2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</row>
    <row r="180" spans="1:13" x14ac:dyDescent="0.2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</row>
    <row r="181" spans="1:13" x14ac:dyDescent="0.2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</row>
    <row r="182" spans="1:13" x14ac:dyDescent="0.2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</row>
    <row r="183" spans="1:13" x14ac:dyDescent="0.2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</row>
  </sheetData>
  <mergeCells count="51">
    <mergeCell ref="A18:B18"/>
    <mergeCell ref="C22:D22"/>
    <mergeCell ref="P22:V22"/>
    <mergeCell ref="X22:AA22"/>
    <mergeCell ref="W6:X7"/>
    <mergeCell ref="U6:V7"/>
    <mergeCell ref="L7:L8"/>
    <mergeCell ref="M6:N7"/>
    <mergeCell ref="O6:P7"/>
    <mergeCell ref="A6:A8"/>
    <mergeCell ref="B6:B8"/>
    <mergeCell ref="C6:D7"/>
    <mergeCell ref="E6:E8"/>
    <mergeCell ref="H6:H8"/>
    <mergeCell ref="F6:F7"/>
    <mergeCell ref="G6:G8"/>
    <mergeCell ref="W27:AA27"/>
    <mergeCell ref="AI7:AJ7"/>
    <mergeCell ref="AK7:AL7"/>
    <mergeCell ref="Z23:AA23"/>
    <mergeCell ref="Q24:W24"/>
    <mergeCell ref="Q25:AA25"/>
    <mergeCell ref="R26:AA26"/>
    <mergeCell ref="Q6:R7"/>
    <mergeCell ref="S6:T7"/>
    <mergeCell ref="AT7:AT8"/>
    <mergeCell ref="AA5:AA8"/>
    <mergeCell ref="AO5:AO8"/>
    <mergeCell ref="AB5:AC5"/>
    <mergeCell ref="Y5:Z5"/>
    <mergeCell ref="AD5:AE5"/>
    <mergeCell ref="Y6:Z7"/>
    <mergeCell ref="AG5:AL5"/>
    <mergeCell ref="AG6:AL6"/>
    <mergeCell ref="AG7:AH7"/>
    <mergeCell ref="AM5:AM8"/>
    <mergeCell ref="AS7:AS8"/>
    <mergeCell ref="AB6:AC7"/>
    <mergeCell ref="AN5:AN8"/>
    <mergeCell ref="AD6:AE7"/>
    <mergeCell ref="AF5:AF8"/>
    <mergeCell ref="W2:AA2"/>
    <mergeCell ref="A3:Z3"/>
    <mergeCell ref="C5:H5"/>
    <mergeCell ref="I5:L5"/>
    <mergeCell ref="M5:N5"/>
    <mergeCell ref="O5:P5"/>
    <mergeCell ref="Q5:R5"/>
    <mergeCell ref="S5:T5"/>
    <mergeCell ref="U5:V5"/>
    <mergeCell ref="W5:X5"/>
  </mergeCells>
  <phoneticPr fontId="29" type="noConversion"/>
  <pageMargins left="0.25" right="0.25" top="0.75" bottom="0.75" header="0.3" footer="0.3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topLeftCell="A16" workbookViewId="0">
      <selection activeCell="D29" sqref="D29"/>
    </sheetView>
  </sheetViews>
  <sheetFormatPr defaultRowHeight="12.75" x14ac:dyDescent="0.2"/>
  <cols>
    <col min="1" max="1" width="22.7109375" customWidth="1"/>
    <col min="2" max="2" width="12" customWidth="1"/>
    <col min="3" max="6" width="10.85546875" customWidth="1"/>
    <col min="9" max="9" width="13.85546875" customWidth="1"/>
  </cols>
  <sheetData>
    <row r="1" spans="1:9" ht="15.75" hidden="1" thickBot="1" x14ac:dyDescent="0.25">
      <c r="A1" s="352" t="s">
        <v>107</v>
      </c>
      <c r="B1" s="362" t="s">
        <v>65</v>
      </c>
      <c r="C1" s="364" t="s">
        <v>99</v>
      </c>
      <c r="D1" s="364"/>
      <c r="E1" s="354" t="s">
        <v>88</v>
      </c>
      <c r="F1" s="365"/>
      <c r="G1" s="358" t="s">
        <v>86</v>
      </c>
      <c r="H1" s="360" t="s">
        <v>98</v>
      </c>
      <c r="I1" s="356" t="s">
        <v>100</v>
      </c>
    </row>
    <row r="2" spans="1:9" ht="19.5" hidden="1" customHeight="1" thickBot="1" x14ac:dyDescent="0.25">
      <c r="A2" s="353"/>
      <c r="B2" s="363"/>
      <c r="C2" s="197" t="s">
        <v>67</v>
      </c>
      <c r="D2" s="201">
        <f>7957+(7957*0.034)</f>
        <v>8227.5380000000005</v>
      </c>
      <c r="E2" s="198" t="s">
        <v>68</v>
      </c>
      <c r="F2" s="199">
        <f>1426+(1426*0.034)</f>
        <v>1474.4839999999999</v>
      </c>
      <c r="G2" s="359"/>
      <c r="H2" s="361"/>
      <c r="I2" s="357"/>
    </row>
    <row r="3" spans="1:9" ht="15.75" hidden="1" x14ac:dyDescent="0.25">
      <c r="A3" s="186" t="s">
        <v>69</v>
      </c>
      <c r="B3" s="187" t="s">
        <v>70</v>
      </c>
      <c r="C3" s="188" t="s">
        <v>71</v>
      </c>
      <c r="D3" s="189" t="s">
        <v>72</v>
      </c>
      <c r="E3" s="190" t="s">
        <v>73</v>
      </c>
      <c r="F3" s="189" t="s">
        <v>74</v>
      </c>
      <c r="G3" s="193" t="s">
        <v>92</v>
      </c>
      <c r="H3" s="193" t="s">
        <v>93</v>
      </c>
      <c r="I3" s="193" t="s">
        <v>75</v>
      </c>
    </row>
    <row r="4" spans="1:9" ht="15.75" hidden="1" x14ac:dyDescent="0.25">
      <c r="A4" s="194" t="s">
        <v>96</v>
      </c>
      <c r="B4" s="195">
        <f>19000+(19000*0.034)</f>
        <v>19646</v>
      </c>
      <c r="C4" s="196">
        <v>8</v>
      </c>
      <c r="D4" s="196">
        <f>C4*$D$2</f>
        <v>65820.304000000004</v>
      </c>
      <c r="E4" s="238">
        <v>208</v>
      </c>
      <c r="F4" s="196">
        <f>E4*$F$2</f>
        <v>306692.67199999996</v>
      </c>
      <c r="G4" s="203">
        <f>Таблица3[[#This Row],[Колона2]]+Таблица3[[#This Row],[Колона4]]+Таблица3[[#This Row],[Колона6]]</f>
        <v>392158.97599999997</v>
      </c>
      <c r="H4" s="202">
        <f>Таблица3[[#This Row],[Колона8]]-C12</f>
        <v>1326.975999999966</v>
      </c>
      <c r="I4" s="204">
        <v>-1327</v>
      </c>
    </row>
    <row r="5" spans="1:9" ht="15.75" hidden="1" x14ac:dyDescent="0.25">
      <c r="A5" s="194" t="s">
        <v>97</v>
      </c>
      <c r="B5" s="195"/>
      <c r="C5" s="196">
        <v>4</v>
      </c>
      <c r="D5" s="196">
        <f>C5*$D$2</f>
        <v>32910.152000000002</v>
      </c>
      <c r="E5" s="196">
        <v>93</v>
      </c>
      <c r="F5" s="196">
        <f>E5*$F$2</f>
        <v>137127.01199999999</v>
      </c>
      <c r="G5" s="203">
        <f>Таблица3[[#This Row],[Колона2]]+Таблица3[[#This Row],[Колона4]]+Таблица3[[#This Row],[Колона6]]</f>
        <v>170037.16399999999</v>
      </c>
      <c r="H5" s="202">
        <f>Таблица3[[#This Row],[Колона8]]-C13</f>
        <v>-4709.8360000000102</v>
      </c>
      <c r="I5" s="204">
        <v>4710</v>
      </c>
    </row>
    <row r="6" spans="1:9" ht="15.75" hidden="1" x14ac:dyDescent="0.25">
      <c r="A6" s="205" t="s">
        <v>86</v>
      </c>
      <c r="B6" s="209">
        <f>SUBTOTAL(109,Таблица3[Колона2])</f>
        <v>0</v>
      </c>
      <c r="C6" s="208">
        <f>SUBTOTAL(109,Таблица3[Колона3])</f>
        <v>0</v>
      </c>
      <c r="D6" s="208">
        <f>SUBTOTAL(109,Таблица3[Колона4])</f>
        <v>0</v>
      </c>
      <c r="E6" s="208">
        <f>SUBTOTAL(109,Таблица3[Колона5])</f>
        <v>0</v>
      </c>
      <c r="F6" s="208">
        <f>SUBTOTAL(109,Таблица3[Колона6])</f>
        <v>0</v>
      </c>
      <c r="G6" s="207">
        <f>SUBTOTAL(109,Таблица3[Колона8])</f>
        <v>0</v>
      </c>
      <c r="H6" s="191">
        <f>SUBTOTAL(109,Таблица3[Колона9])</f>
        <v>0</v>
      </c>
      <c r="I6" s="206">
        <f>SUBTOTAL(109,Таблица3[Колона10])</f>
        <v>0</v>
      </c>
    </row>
    <row r="7" spans="1:9" ht="6.75" hidden="1" customHeight="1" x14ac:dyDescent="0.2"/>
    <row r="8" spans="1:9" ht="15.75" hidden="1" customHeight="1" thickBot="1" x14ac:dyDescent="0.25"/>
    <row r="9" spans="1:9" ht="12.75" hidden="1" customHeight="1" thickBot="1" x14ac:dyDescent="0.25">
      <c r="A9" s="352" t="s">
        <v>108</v>
      </c>
      <c r="B9" s="354" t="s">
        <v>88</v>
      </c>
      <c r="C9" s="355"/>
    </row>
    <row r="10" spans="1:9" ht="13.5" hidden="1" thickBot="1" x14ac:dyDescent="0.25">
      <c r="A10" s="353"/>
      <c r="B10" s="198" t="s">
        <v>68</v>
      </c>
      <c r="C10" s="200">
        <v>1879</v>
      </c>
    </row>
    <row r="11" spans="1:9" ht="15.75" hidden="1" x14ac:dyDescent="0.2">
      <c r="A11" s="186" t="s">
        <v>69</v>
      </c>
      <c r="B11" s="186" t="s">
        <v>70</v>
      </c>
      <c r="C11" s="186" t="s">
        <v>71</v>
      </c>
    </row>
    <row r="12" spans="1:9" ht="15.75" hidden="1" x14ac:dyDescent="0.25">
      <c r="A12" s="194" t="s">
        <v>96</v>
      </c>
      <c r="B12" s="238">
        <v>208</v>
      </c>
      <c r="C12" s="202">
        <f>Таблица35[[#This Row],[Колона2]]*$C$10</f>
        <v>390832</v>
      </c>
    </row>
    <row r="13" spans="1:9" ht="15.75" hidden="1" x14ac:dyDescent="0.25">
      <c r="A13" s="194" t="s">
        <v>97</v>
      </c>
      <c r="B13" s="196">
        <v>93</v>
      </c>
      <c r="C13" s="202">
        <f>Таблица35[[#This Row],[Колона2]]*$C$10</f>
        <v>174747</v>
      </c>
    </row>
    <row r="14" spans="1:9" ht="15.75" hidden="1" x14ac:dyDescent="0.25">
      <c r="A14" s="205" t="s">
        <v>86</v>
      </c>
      <c r="B14" s="208">
        <f>SUBTOTAL(109,Таблица35[Колона2])</f>
        <v>0</v>
      </c>
      <c r="C14" s="210">
        <f>SUBTOTAL(109,Таблица35[Колона3])</f>
        <v>0</v>
      </c>
    </row>
    <row r="15" spans="1:9" hidden="1" x14ac:dyDescent="0.2"/>
    <row r="16" spans="1:9" ht="13.5" thickBot="1" x14ac:dyDescent="0.25">
      <c r="A16" s="263" t="s">
        <v>116</v>
      </c>
    </row>
    <row r="17" spans="1:9" ht="19.5" customHeight="1" thickBot="1" x14ac:dyDescent="0.25">
      <c r="A17" s="362" t="s">
        <v>109</v>
      </c>
      <c r="B17" s="362" t="s">
        <v>65</v>
      </c>
      <c r="C17" s="370" t="s">
        <v>99</v>
      </c>
      <c r="D17" s="371"/>
      <c r="E17" s="354" t="s">
        <v>88</v>
      </c>
      <c r="F17" s="372"/>
      <c r="G17" s="373" t="s">
        <v>86</v>
      </c>
      <c r="H17" s="366" t="s">
        <v>100</v>
      </c>
      <c r="I17" s="368" t="s">
        <v>110</v>
      </c>
    </row>
    <row r="18" spans="1:9" ht="27.75" customHeight="1" thickBot="1" x14ac:dyDescent="0.25">
      <c r="A18" s="363"/>
      <c r="B18" s="363"/>
      <c r="C18" s="197" t="s">
        <v>67</v>
      </c>
      <c r="D18" s="201">
        <f>8016+(8016*0.034)</f>
        <v>8288.5439999999999</v>
      </c>
      <c r="E18" s="198" t="s">
        <v>68</v>
      </c>
      <c r="F18" s="199">
        <f>1437+(1437*0.034)</f>
        <v>1485.8579999999999</v>
      </c>
      <c r="G18" s="374"/>
      <c r="H18" s="367"/>
      <c r="I18" s="369"/>
    </row>
    <row r="19" spans="1:9" ht="15.75" x14ac:dyDescent="0.25">
      <c r="A19" s="251" t="s">
        <v>69</v>
      </c>
      <c r="B19" s="187" t="s">
        <v>70</v>
      </c>
      <c r="C19" s="188" t="s">
        <v>71</v>
      </c>
      <c r="D19" s="189" t="s">
        <v>72</v>
      </c>
      <c r="E19" s="190" t="s">
        <v>73</v>
      </c>
      <c r="F19" s="189" t="s">
        <v>74</v>
      </c>
      <c r="G19" s="193" t="s">
        <v>92</v>
      </c>
      <c r="H19" s="193" t="s">
        <v>93</v>
      </c>
      <c r="I19" s="250" t="s">
        <v>75</v>
      </c>
    </row>
    <row r="20" spans="1:9" ht="15.75" x14ac:dyDescent="0.25">
      <c r="A20" s="252" t="s">
        <v>96</v>
      </c>
      <c r="B20" s="195">
        <f>19000+(19000*0.034)</f>
        <v>19646</v>
      </c>
      <c r="C20" s="196">
        <v>8</v>
      </c>
      <c r="D20" s="196">
        <f t="shared" ref="D20" si="0">C20*$D$18</f>
        <v>66308.351999999999</v>
      </c>
      <c r="E20" s="260">
        <v>208</v>
      </c>
      <c r="F20" s="196">
        <f t="shared" ref="F20:F21" si="1">E20*$F$18</f>
        <v>309058.46399999998</v>
      </c>
      <c r="G20" s="203">
        <f>Таблица39[[#This Row],[Колона2]]+Таблица39[[#This Row],[Колона4]]+Таблица39[[#This Row],[Колона6]]</f>
        <v>395012.81599999999</v>
      </c>
      <c r="H20" s="204">
        <v>-1327</v>
      </c>
      <c r="I20" s="253">
        <f>Таблица39[[#This Row],[Колона8]]+Таблица39[[#This Row],[Колона9]]</f>
        <v>393685.81599999999</v>
      </c>
    </row>
    <row r="21" spans="1:9" ht="15.75" x14ac:dyDescent="0.25">
      <c r="A21" s="252" t="s">
        <v>97</v>
      </c>
      <c r="B21" s="195"/>
      <c r="C21" s="196">
        <v>4</v>
      </c>
      <c r="D21" s="196">
        <f>C21*$D$18</f>
        <v>33154.175999999999</v>
      </c>
      <c r="E21" s="196">
        <v>93</v>
      </c>
      <c r="F21" s="196">
        <f t="shared" si="1"/>
        <v>138184.79399999999</v>
      </c>
      <c r="G21" s="203">
        <f>Таблица39[[#This Row],[Колона2]]+Таблица39[[#This Row],[Колона4]]+Таблица39[[#This Row],[Колона6]]</f>
        <v>171338.97</v>
      </c>
      <c r="H21" s="204">
        <v>4710</v>
      </c>
      <c r="I21" s="253">
        <f>Таблица39[[#This Row],[Колона8]]+Таблица39[[#This Row],[Колона9]]</f>
        <v>176048.97</v>
      </c>
    </row>
    <row r="22" spans="1:9" ht="16.5" thickBot="1" x14ac:dyDescent="0.3">
      <c r="A22" s="254" t="s">
        <v>86</v>
      </c>
      <c r="B22" s="255">
        <f>SUBTOTAL(109,Таблица39[Колона2])</f>
        <v>19646</v>
      </c>
      <c r="C22" s="256">
        <f>SUBTOTAL(109,Таблица39[Колона3])</f>
        <v>12</v>
      </c>
      <c r="D22" s="256">
        <f>SUBTOTAL(109,Таблица39[Колона4])</f>
        <v>99462.527999999991</v>
      </c>
      <c r="E22" s="256">
        <f>SUBTOTAL(109,Таблица39[Колона5])</f>
        <v>301</v>
      </c>
      <c r="F22" s="256">
        <f>SUBTOTAL(109,Таблица39[Колона6])</f>
        <v>447243.25799999997</v>
      </c>
      <c r="G22" s="257">
        <f>SUBTOTAL(109,Таблица39[Колона8])</f>
        <v>566351.78599999996</v>
      </c>
      <c r="H22" s="258">
        <f>SUBTOTAL(109,Таблица39[Колона9])</f>
        <v>3383</v>
      </c>
      <c r="I22" s="259">
        <f>SUBTOTAL(109,Таблица39[Колона10])</f>
        <v>569734.78599999996</v>
      </c>
    </row>
    <row r="23" spans="1:9" ht="15.75" thickBot="1" x14ac:dyDescent="0.3">
      <c r="A23" s="244" t="s">
        <v>113</v>
      </c>
      <c r="B23" s="245"/>
      <c r="C23" s="245">
        <f>C24-Таблица39[[#Totals],[Колона3]]</f>
        <v>1</v>
      </c>
      <c r="D23" s="246">
        <f>D24-Таблица39[[#Totals],[Колона4]]</f>
        <v>8288.544000000009</v>
      </c>
      <c r="E23" s="245">
        <f>E24-Таблица39[[#Totals],[Колона5]]</f>
        <v>31</v>
      </c>
      <c r="F23" s="246">
        <f>F24-Таблица39[[#Totals],[Колона6]]</f>
        <v>46061.597999999998</v>
      </c>
      <c r="G23" s="262">
        <f>G24-Таблица39[[#Totals],[Колона8]]</f>
        <v>54350.141999999993</v>
      </c>
      <c r="H23" s="245">
        <f>H24-Таблица39[[#Totals],[Колона9]]</f>
        <v>-398</v>
      </c>
      <c r="I23" s="249">
        <f>G23+H23</f>
        <v>53952.141999999993</v>
      </c>
    </row>
    <row r="24" spans="1:9" x14ac:dyDescent="0.2">
      <c r="A24" s="237"/>
      <c r="B24" s="237">
        <v>19646</v>
      </c>
      <c r="C24" s="237">
        <v>13</v>
      </c>
      <c r="D24" s="243">
        <f>C24*D18</f>
        <v>107751.072</v>
      </c>
      <c r="E24" s="237">
        <v>332</v>
      </c>
      <c r="F24" s="243">
        <f>E24*F18</f>
        <v>493304.85599999997</v>
      </c>
      <c r="G24" s="243">
        <f>B24+D24+F24</f>
        <v>620701.92799999996</v>
      </c>
      <c r="H24" s="237">
        <v>2985</v>
      </c>
      <c r="I24" s="243">
        <f>G24+H24</f>
        <v>623686.92799999996</v>
      </c>
    </row>
  </sheetData>
  <mergeCells count="16">
    <mergeCell ref="H17:H18"/>
    <mergeCell ref="I17:I18"/>
    <mergeCell ref="A17:A18"/>
    <mergeCell ref="B17:B18"/>
    <mergeCell ref="C17:D17"/>
    <mergeCell ref="E17:F17"/>
    <mergeCell ref="G17:G18"/>
    <mergeCell ref="A9:A10"/>
    <mergeCell ref="B9:C9"/>
    <mergeCell ref="I1:I2"/>
    <mergeCell ref="G1:G2"/>
    <mergeCell ref="H1:H2"/>
    <mergeCell ref="A1:A2"/>
    <mergeCell ref="B1:B2"/>
    <mergeCell ref="C1:D1"/>
    <mergeCell ref="E1:F1"/>
  </mergeCells>
  <pageMargins left="0.7" right="0.7" top="0.75" bottom="0.75" header="0.3" footer="0.3"/>
  <pageSetup paperSize="9" orientation="landscape" r:id="rId1"/>
  <tableParts count="3"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"/>
  <sheetViews>
    <sheetView workbookViewId="0">
      <selection activeCell="C10" sqref="C10"/>
    </sheetView>
  </sheetViews>
  <sheetFormatPr defaultRowHeight="12.75" x14ac:dyDescent="0.2"/>
  <cols>
    <col min="1" max="1" width="16" customWidth="1"/>
    <col min="3" max="3" width="7.42578125" customWidth="1"/>
    <col min="4" max="4" width="9.42578125" bestFit="1" customWidth="1"/>
    <col min="5" max="5" width="7.5703125" customWidth="1"/>
    <col min="6" max="6" width="9.5703125" bestFit="1" customWidth="1"/>
    <col min="7" max="7" width="7.85546875" customWidth="1"/>
    <col min="9" max="9" width="7.5703125" customWidth="1"/>
    <col min="13" max="13" width="7.42578125" customWidth="1"/>
    <col min="14" max="14" width="8.42578125" customWidth="1"/>
    <col min="15" max="15" width="6.140625" customWidth="1"/>
    <col min="16" max="16" width="8.28515625" customWidth="1"/>
    <col min="18" max="18" width="8.140625" customWidth="1"/>
    <col min="22" max="22" width="8.28515625" customWidth="1"/>
  </cols>
  <sheetData>
    <row r="1" spans="1:19" ht="30.75" customHeight="1" thickBot="1" x14ac:dyDescent="0.25">
      <c r="A1" s="362" t="s">
        <v>115</v>
      </c>
      <c r="B1" s="362" t="s">
        <v>65</v>
      </c>
      <c r="C1" s="354" t="s">
        <v>87</v>
      </c>
      <c r="D1" s="355"/>
      <c r="E1" s="354" t="s">
        <v>102</v>
      </c>
      <c r="F1" s="355"/>
      <c r="G1" s="375" t="s">
        <v>90</v>
      </c>
      <c r="H1" s="376"/>
      <c r="I1" s="377" t="s">
        <v>10</v>
      </c>
      <c r="J1" s="378"/>
      <c r="K1" s="211" t="s">
        <v>89</v>
      </c>
      <c r="L1" s="211" t="s">
        <v>105</v>
      </c>
      <c r="M1" s="379" t="s">
        <v>66</v>
      </c>
      <c r="N1" s="380"/>
      <c r="O1" s="379" t="s">
        <v>103</v>
      </c>
      <c r="P1" s="380"/>
      <c r="Q1" s="211" t="s">
        <v>91</v>
      </c>
      <c r="R1" s="264" t="s">
        <v>104</v>
      </c>
      <c r="S1" s="211" t="s">
        <v>106</v>
      </c>
    </row>
    <row r="2" spans="1:19" ht="13.5" thickBot="1" x14ac:dyDescent="0.25">
      <c r="A2" s="381"/>
      <c r="B2" s="381"/>
      <c r="C2" s="213" t="s">
        <v>67</v>
      </c>
      <c r="D2" s="214">
        <f>11600+(11600*0.034)</f>
        <v>11994.4</v>
      </c>
      <c r="E2" s="215" t="s">
        <v>68</v>
      </c>
      <c r="F2" s="216">
        <f>2289+(2289*0.034)</f>
        <v>2366.826</v>
      </c>
      <c r="G2" s="217" t="s">
        <v>64</v>
      </c>
      <c r="H2" s="218">
        <v>87</v>
      </c>
      <c r="I2" s="219" t="s">
        <v>64</v>
      </c>
      <c r="J2" s="220">
        <v>25</v>
      </c>
      <c r="K2" s="239" t="s">
        <v>114</v>
      </c>
      <c r="L2" s="185"/>
      <c r="M2" s="221" t="s">
        <v>64</v>
      </c>
      <c r="N2" s="222">
        <v>359</v>
      </c>
      <c r="O2" s="221" t="s">
        <v>64</v>
      </c>
      <c r="P2" s="223">
        <v>2476</v>
      </c>
      <c r="Q2" s="236"/>
      <c r="R2" s="224"/>
      <c r="S2" s="185"/>
    </row>
    <row r="3" spans="1:19" ht="32.25" thickBot="1" x14ac:dyDescent="0.25">
      <c r="A3" s="212" t="s">
        <v>69</v>
      </c>
      <c r="B3" s="234" t="s">
        <v>70</v>
      </c>
      <c r="C3" s="234" t="s">
        <v>71</v>
      </c>
      <c r="D3" s="234" t="s">
        <v>72</v>
      </c>
      <c r="E3" s="234" t="s">
        <v>73</v>
      </c>
      <c r="F3" s="234" t="s">
        <v>74</v>
      </c>
      <c r="G3" s="234" t="s">
        <v>94</v>
      </c>
      <c r="H3" s="234" t="s">
        <v>95</v>
      </c>
      <c r="I3" s="234" t="s">
        <v>76</v>
      </c>
      <c r="J3" s="234" t="s">
        <v>77</v>
      </c>
      <c r="K3" s="234" t="s">
        <v>111</v>
      </c>
      <c r="L3" s="234" t="s">
        <v>78</v>
      </c>
      <c r="M3" s="234" t="s">
        <v>79</v>
      </c>
      <c r="N3" s="234" t="s">
        <v>80</v>
      </c>
      <c r="O3" s="234" t="s">
        <v>81</v>
      </c>
      <c r="P3" s="234" t="s">
        <v>82</v>
      </c>
      <c r="Q3" s="234" t="s">
        <v>83</v>
      </c>
      <c r="R3" s="234" t="s">
        <v>84</v>
      </c>
      <c r="S3" s="234" t="s">
        <v>85</v>
      </c>
    </row>
    <row r="4" spans="1:19" ht="16.5" thickBot="1" x14ac:dyDescent="0.3">
      <c r="A4" s="186" t="s">
        <v>101</v>
      </c>
      <c r="B4" s="225">
        <f>33000+(33000*0.034)</f>
        <v>34122</v>
      </c>
      <c r="C4" s="226">
        <v>8</v>
      </c>
      <c r="D4" s="227">
        <f>C4*$D$2</f>
        <v>95955.199999999997</v>
      </c>
      <c r="E4" s="228">
        <v>174</v>
      </c>
      <c r="F4" s="227">
        <f t="shared" ref="F4" si="0">E4*$F$2</f>
        <v>411827.72399999999</v>
      </c>
      <c r="G4" s="228">
        <v>106</v>
      </c>
      <c r="H4" s="227">
        <f>G4*$H$2</f>
        <v>9222</v>
      </c>
      <c r="I4" s="228">
        <v>174</v>
      </c>
      <c r="J4" s="227">
        <f>I4*$J$2</f>
        <v>4350</v>
      </c>
      <c r="K4" s="229">
        <v>0</v>
      </c>
      <c r="L4" s="229">
        <f>Таблица47[[#This Row],[Колона2]]+Таблица47[[#This Row],[Колона4]]+Таблица47[[#This Row],[Колона6]]+Таблица47[[#This Row],[Колона14]]+Таблица47[[#This Row],[Колона16]]</f>
        <v>555476.924</v>
      </c>
      <c r="M4" s="230">
        <v>8</v>
      </c>
      <c r="N4" s="231">
        <f>M4*$N$2</f>
        <v>2872</v>
      </c>
      <c r="O4" s="232">
        <v>8</v>
      </c>
      <c r="P4" s="232">
        <f>Таблица47[Колона21]*P2</f>
        <v>19808</v>
      </c>
      <c r="Q4" s="235">
        <f>Таблица47[[#This Row],[Колона20]]+Таблица47[Колона22]</f>
        <v>22680</v>
      </c>
      <c r="R4" s="233">
        <v>6000</v>
      </c>
      <c r="S4" s="192">
        <f>Таблица47[[#This Row],[Колона18]]+Таблица47[[#This Row],[Колона23]]+Таблица47[Колона24]</f>
        <v>584156.924</v>
      </c>
    </row>
    <row r="5" spans="1:19" ht="16.5" thickBot="1" x14ac:dyDescent="0.25">
      <c r="A5" s="240" t="s">
        <v>86</v>
      </c>
      <c r="B5" s="241">
        <f>SUBTOTAL(109,Таблица47[Колона2])</f>
        <v>34122</v>
      </c>
      <c r="C5" s="241">
        <f>SUBTOTAL(109,Таблица47[Колона3])</f>
        <v>8</v>
      </c>
      <c r="D5" s="241">
        <f>SUBTOTAL(109,Таблица47[Колона4])</f>
        <v>95955.199999999997</v>
      </c>
      <c r="E5" s="241">
        <f>SUBTOTAL(109,Таблица47[Колона5])</f>
        <v>174</v>
      </c>
      <c r="F5" s="241">
        <f>SUBTOTAL(109,Таблица47[Колона6])</f>
        <v>411827.72399999999</v>
      </c>
      <c r="G5" s="241">
        <f>SUBTOTAL(109,Таблица47[Колона13])</f>
        <v>106</v>
      </c>
      <c r="H5" s="241">
        <f>SUBTOTAL(109,Таблица47[Колона14])</f>
        <v>9222</v>
      </c>
      <c r="I5" s="241">
        <f>SUBTOTAL(109,Таблица47[Колона15])</f>
        <v>174</v>
      </c>
      <c r="J5" s="241">
        <f>SUBTOTAL(109,Таблица47[Колона16])</f>
        <v>4350</v>
      </c>
      <c r="K5" s="241" t="s">
        <v>112</v>
      </c>
      <c r="L5" s="241">
        <f>SUBTOTAL(109,Таблица47[Колона18])</f>
        <v>555476.924</v>
      </c>
      <c r="M5" s="241">
        <f>SUBTOTAL(109,Таблица47[Колона19])</f>
        <v>8</v>
      </c>
      <c r="N5" s="241">
        <f>SUBTOTAL(109,Таблица47[Колона20])</f>
        <v>2872</v>
      </c>
      <c r="O5" s="241">
        <f>SUBTOTAL(109,Таблица47[Колона21])</f>
        <v>8</v>
      </c>
      <c r="P5" s="242">
        <f>SUBTOTAL(109,Таблица47[Колона22])</f>
        <v>19808</v>
      </c>
      <c r="Q5" s="241">
        <f>SUBTOTAL(109,Таблица47[Колона23])</f>
        <v>22680</v>
      </c>
      <c r="R5" s="241">
        <f>SUBTOTAL(109,Таблица47[Колона24])</f>
        <v>6000</v>
      </c>
      <c r="S5" s="242">
        <f>SUBTOTAL(109,Таблица47[Колона25])</f>
        <v>584156.924</v>
      </c>
    </row>
    <row r="6" spans="1:19" ht="15.75" thickBot="1" x14ac:dyDescent="0.3">
      <c r="A6" s="244" t="s">
        <v>113</v>
      </c>
      <c r="B6" s="245">
        <v>0</v>
      </c>
      <c r="C6" s="245">
        <v>0</v>
      </c>
      <c r="D6" s="245">
        <v>0</v>
      </c>
      <c r="E6" s="245">
        <f>E7-Таблица47[[#Totals],[Колона5]]</f>
        <v>1</v>
      </c>
      <c r="F6" s="246">
        <f>F7-Таблица47[[#Totals],[Колона6]]</f>
        <v>2366.8260000000009</v>
      </c>
      <c r="G6" s="245">
        <f>G7-Таблица47[[#Totals],[Колона13]]</f>
        <v>-23</v>
      </c>
      <c r="H6" s="245">
        <f>H7-Таблица47[[#Totals],[Колона14]]</f>
        <v>-2001</v>
      </c>
      <c r="I6" s="245">
        <f>I7-Таблица47[[#Totals],[Колона15]]</f>
        <v>1</v>
      </c>
      <c r="J6" s="245">
        <f>J7-Таблица47[[#Totals],[Колона16]]</f>
        <v>25</v>
      </c>
      <c r="K6" s="245">
        <f>K7-Таблица47[[#Totals],[Колона172]]</f>
        <v>1308</v>
      </c>
      <c r="L6" s="247">
        <f>L7-Таблица47[[#Totals],[Колона18]]</f>
        <v>1698.6260000000475</v>
      </c>
      <c r="M6" s="245">
        <f>M7-Таблица47[[#Totals],[Колона19]]</f>
        <v>1</v>
      </c>
      <c r="N6" s="245">
        <f>N7-Таблица47[[#Totals],[Колона20]]</f>
        <v>359</v>
      </c>
      <c r="O6" s="245">
        <f>O7-Таблица47[[#Totals],[Колона21]]</f>
        <v>-8</v>
      </c>
      <c r="P6" s="245">
        <f>P7-Таблица47[[#Totals],[Колона22]]</f>
        <v>-19808</v>
      </c>
      <c r="Q6" s="248">
        <f>Q7-Таблица47[[#Totals],[Колона23]]</f>
        <v>-19449</v>
      </c>
      <c r="R6" s="245">
        <v>0</v>
      </c>
      <c r="S6" s="249">
        <f>S7-Таблица47[[#Totals],[Колона25]]</f>
        <v>-17750.373999999953</v>
      </c>
    </row>
    <row r="7" spans="1:19" x14ac:dyDescent="0.2">
      <c r="A7" s="237"/>
      <c r="B7" s="237">
        <v>34122</v>
      </c>
      <c r="C7" s="237">
        <v>8</v>
      </c>
      <c r="D7" s="237">
        <v>95955</v>
      </c>
      <c r="E7" s="237">
        <v>175</v>
      </c>
      <c r="F7" s="243">
        <f>E7*F2</f>
        <v>414194.55</v>
      </c>
      <c r="G7" s="237">
        <v>83</v>
      </c>
      <c r="H7" s="237">
        <f>G7*H2</f>
        <v>7221</v>
      </c>
      <c r="I7" s="237">
        <v>175</v>
      </c>
      <c r="J7" s="237">
        <f>I7*J2</f>
        <v>4375</v>
      </c>
      <c r="K7" s="237">
        <v>1308</v>
      </c>
      <c r="L7" s="243">
        <f>B7+D7+F7+H7+J7+K7</f>
        <v>557175.55000000005</v>
      </c>
      <c r="M7" s="237">
        <v>9</v>
      </c>
      <c r="N7" s="237">
        <f>M7*N2</f>
        <v>3231</v>
      </c>
      <c r="O7" s="237">
        <v>0</v>
      </c>
      <c r="P7" s="237">
        <v>0</v>
      </c>
      <c r="Q7" s="237">
        <f>N7+P7</f>
        <v>3231</v>
      </c>
      <c r="R7" s="237">
        <v>6000</v>
      </c>
      <c r="S7" s="243">
        <f>L7+Q7+R7</f>
        <v>566406.55000000005</v>
      </c>
    </row>
    <row r="10" spans="1:19" ht="45.75" customHeight="1" x14ac:dyDescent="0.2">
      <c r="N10" s="261"/>
      <c r="O10" s="261"/>
      <c r="P10" s="261"/>
    </row>
    <row r="11" spans="1:19" ht="13.5" customHeight="1" x14ac:dyDescent="0.2"/>
  </sheetData>
  <mergeCells count="8">
    <mergeCell ref="G1:H1"/>
    <mergeCell ref="I1:J1"/>
    <mergeCell ref="M1:N1"/>
    <mergeCell ref="O1:P1"/>
    <mergeCell ref="A1:A2"/>
    <mergeCell ref="B1:B2"/>
    <mergeCell ref="C1:D1"/>
    <mergeCell ref="E1:F1"/>
  </mergeCells>
  <pageMargins left="0.14000000000000001" right="0.14000000000000001" top="0.75" bottom="0.75" header="0.3" footer="0.3"/>
  <pageSetup paperSize="9" scale="8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Sheet2</vt:lpstr>
      <vt:lpstr>гориво_бр. деца</vt:lpstr>
      <vt:lpstr>бр. деца</vt:lpstr>
      <vt:lpstr>малко нас. място</vt:lpstr>
      <vt:lpstr>Приложение 4</vt:lpstr>
      <vt:lpstr>324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cp:lastPrinted>2018-03-08T08:14:06Z</cp:lastPrinted>
  <dcterms:created xsi:type="dcterms:W3CDTF">1996-10-14T23:33:28Z</dcterms:created>
  <dcterms:modified xsi:type="dcterms:W3CDTF">2018-03-08T09:49:02Z</dcterms:modified>
</cp:coreProperties>
</file>